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60" windowWidth="13890" windowHeight="846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s="1"/>
  <c r="B160" i="37"/>
  <c r="C160" i="37"/>
  <c r="D160" i="37"/>
  <c r="G160" i="37" s="1"/>
  <c r="B161" i="37"/>
  <c r="B162" i="37"/>
  <c r="B163" i="37"/>
  <c r="C163" i="37"/>
  <c r="D163" i="37"/>
  <c r="G163" i="37" s="1"/>
  <c r="B164" i="37"/>
  <c r="C164" i="37"/>
  <c r="D164" i="37"/>
  <c r="G164" i="37" s="1"/>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G285" i="37" s="1"/>
  <c r="C285" i="37"/>
  <c r="D285" i="37"/>
  <c r="B286" i="37"/>
  <c r="G286" i="37" s="1"/>
  <c r="C286" i="37"/>
  <c r="D286" i="37"/>
  <c r="B287" i="37"/>
  <c r="G287" i="37" s="1"/>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G638" i="37" s="1"/>
  <c r="C638" i="37"/>
  <c r="D638" i="37"/>
  <c r="B639" i="37"/>
  <c r="C639" i="37"/>
  <c r="D639" i="37"/>
  <c r="B640" i="37"/>
  <c r="C640" i="37"/>
  <c r="D640" i="37"/>
  <c r="B641" i="37"/>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s="1"/>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s="1"/>
  <c r="B686" i="37"/>
  <c r="C686" i="37"/>
  <c r="D686" i="37"/>
  <c r="G686" i="37"/>
  <c r="B687" i="37"/>
  <c r="C687" i="37"/>
  <c r="D687" i="37"/>
  <c r="G687" i="37"/>
  <c r="B688" i="37"/>
  <c r="C688" i="37"/>
  <c r="D688" i="37"/>
  <c r="G688" i="37"/>
  <c r="B689" i="37"/>
  <c r="C689" i="37"/>
  <c r="D689" i="37"/>
  <c r="G689" i="37" s="1"/>
  <c r="B690" i="37"/>
  <c r="C690" i="37"/>
  <c r="D690" i="37"/>
  <c r="G690" i="37" s="1"/>
  <c r="B691" i="37"/>
  <c r="C691" i="37"/>
  <c r="D691" i="37"/>
  <c r="G691" i="37"/>
  <c r="B692" i="37"/>
  <c r="C692" i="37"/>
  <c r="D692" i="37"/>
  <c r="G692" i="37" s="1"/>
  <c r="B693" i="37"/>
  <c r="C693" i="37"/>
  <c r="D693" i="37"/>
  <c r="G693" i="37" s="1"/>
  <c r="B694" i="37"/>
  <c r="C694" i="37"/>
  <c r="D694" i="37"/>
  <c r="G694" i="37" s="1"/>
  <c r="B695" i="37"/>
  <c r="C695" i="37"/>
  <c r="D695" i="37"/>
  <c r="G695" i="37" s="1"/>
  <c r="B696" i="37"/>
  <c r="C696" i="37"/>
  <c r="D696" i="37"/>
  <c r="G696" i="37"/>
  <c r="B697" i="37"/>
  <c r="C697" i="37"/>
  <c r="D697" i="37"/>
  <c r="G697" i="37" s="1"/>
  <c r="B698" i="37"/>
  <c r="C698" i="37"/>
  <c r="D698" i="37"/>
  <c r="G698" i="37" s="1"/>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B1022" i="37"/>
  <c r="C1022" i="37"/>
  <c r="D1022" i="37"/>
  <c r="B1023" i="37"/>
  <c r="B1024" i="37"/>
  <c r="C1024" i="37"/>
  <c r="D1024" i="37"/>
  <c r="G1024" i="37"/>
  <c r="B1025" i="37"/>
  <c r="C1025" i="37"/>
  <c r="D1025" i="37"/>
  <c r="G1025" i="37" s="1"/>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s="1"/>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G1055" i="37" s="1"/>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G1137" i="37" s="1"/>
  <c r="C1137" i="37"/>
  <c r="D1137" i="37"/>
  <c r="B1138" i="37"/>
  <c r="B1139" i="37"/>
  <c r="B1140" i="37"/>
  <c r="B1141" i="37"/>
  <c r="C1141" i="37"/>
  <c r="G1141" i="37" s="1"/>
  <c r="D1141" i="37"/>
  <c r="B1142" i="37"/>
  <c r="C1142" i="37"/>
  <c r="D1142" i="37"/>
  <c r="B1143" i="37"/>
  <c r="B1144" i="37"/>
  <c r="G1144" i="37" s="1"/>
  <c r="C1144" i="37"/>
  <c r="D1144" i="37"/>
  <c r="B1145" i="37"/>
  <c r="G1145" i="37" s="1"/>
  <c r="C1145" i="37"/>
  <c r="D1145" i="37"/>
  <c r="B1146" i="37"/>
  <c r="G1146" i="37" s="1"/>
  <c r="C1146" i="37"/>
  <c r="D1146" i="37"/>
  <c r="B1147" i="37"/>
  <c r="G1147" i="37" s="1"/>
  <c r="C1147" i="37"/>
  <c r="D1147" i="37"/>
  <c r="B1148" i="37"/>
  <c r="G1148" i="37" s="1"/>
  <c r="C1148" i="37"/>
  <c r="D1148" i="37"/>
  <c r="B1149" i="37"/>
  <c r="G1149" i="37" s="1"/>
  <c r="C1149" i="37"/>
  <c r="D1149" i="37"/>
  <c r="B1150" i="37"/>
  <c r="G1150" i="37" s="1"/>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G1207" i="37" s="1"/>
  <c r="D1207" i="37"/>
  <c r="B1208" i="37"/>
  <c r="B1209" i="37"/>
  <c r="C1209" i="37"/>
  <c r="D1209" i="37"/>
  <c r="G1209" i="37" s="1"/>
  <c r="B1210" i="37"/>
  <c r="C1210" i="37"/>
  <c r="D1210" i="37"/>
  <c r="G1210" i="37"/>
  <c r="B1211" i="37"/>
  <c r="C1211" i="37"/>
  <c r="D1211" i="37"/>
  <c r="G1211" i="37"/>
  <c r="B1212" i="37"/>
  <c r="B1213" i="37"/>
  <c r="G1213" i="37" s="1"/>
  <c r="C1213" i="37"/>
  <c r="D1213" i="37"/>
  <c r="B1214" i="37"/>
  <c r="G1214" i="37" s="1"/>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G1224" i="37" s="1"/>
  <c r="D1224" i="37"/>
  <c r="B1225" i="37"/>
  <c r="C1225" i="37"/>
  <c r="D1225" i="37"/>
  <c r="B1226" i="37"/>
  <c r="C1226" i="37"/>
  <c r="G1226" i="37" s="1"/>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G1252" i="37" s="1"/>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H1385" i="37" s="1"/>
  <c r="B1386" i="37"/>
  <c r="G1386" i="37" s="1"/>
  <c r="C1386" i="37"/>
  <c r="D1386" i="37"/>
  <c r="B1387" i="37"/>
  <c r="G1387" i="37" s="1"/>
  <c r="C1387" i="37"/>
  <c r="D1387" i="37"/>
  <c r="H1387" i="37" s="1"/>
  <c r="B1388" i="37"/>
  <c r="G1388" i="37" s="1"/>
  <c r="C1388" i="37"/>
  <c r="D1388" i="37"/>
  <c r="B1389" i="37"/>
  <c r="B1390" i="37"/>
  <c r="G1390" i="37" s="1"/>
  <c r="C1390" i="37"/>
  <c r="D1390" i="37"/>
  <c r="H1390" i="37" s="1"/>
  <c r="B1391" i="37"/>
  <c r="C1391" i="37"/>
  <c r="D1391" i="37"/>
  <c r="B1392" i="37"/>
  <c r="G1392" i="37" s="1"/>
  <c r="C1392" i="37"/>
  <c r="D1392" i="37"/>
  <c r="H1392" i="37" s="1"/>
  <c r="B1393" i="37"/>
  <c r="G1393" i="37" s="1"/>
  <c r="C1393" i="37"/>
  <c r="D1393" i="37"/>
  <c r="B1394" i="37"/>
  <c r="G1394" i="37" s="1"/>
  <c r="C1394" i="37"/>
  <c r="D1394" i="37"/>
  <c r="H1394" i="37" s="1"/>
  <c r="B1395" i="37"/>
  <c r="G1395" i="37" s="1"/>
  <c r="C1395" i="37"/>
  <c r="D1395" i="37"/>
  <c r="B1396" i="37"/>
  <c r="B1397" i="37"/>
  <c r="B1398" i="37"/>
  <c r="G1398" i="37" s="1"/>
  <c r="C1398" i="37"/>
  <c r="D1398" i="37"/>
  <c r="H1398" i="37" s="1"/>
  <c r="B1399" i="37"/>
  <c r="G1399" i="37" s="1"/>
  <c r="C1399" i="37"/>
  <c r="D1399" i="37"/>
  <c r="B1400" i="37"/>
  <c r="B1401" i="37"/>
  <c r="C1401" i="37"/>
  <c r="H1401" i="37" s="1"/>
  <c r="D1401" i="37"/>
  <c r="G1401" i="37"/>
  <c r="B1402" i="37"/>
  <c r="C1402" i="37"/>
  <c r="D1402" i="37"/>
  <c r="G1402" i="37"/>
  <c r="B1403" i="37"/>
  <c r="C1403" i="37"/>
  <c r="H1403" i="37" s="1"/>
  <c r="D1403" i="37"/>
  <c r="G1403" i="37"/>
  <c r="B1404" i="37"/>
  <c r="B1405" i="37"/>
  <c r="G1405" i="37" s="1"/>
  <c r="C1405" i="37"/>
  <c r="D1405" i="37"/>
  <c r="B1406" i="37"/>
  <c r="G1406" i="37" s="1"/>
  <c r="C1406" i="37"/>
  <c r="D1406" i="37"/>
  <c r="H1406" i="37" s="1"/>
  <c r="B1407" i="37"/>
  <c r="G1407" i="37" s="1"/>
  <c r="C1407" i="37"/>
  <c r="D1407" i="37"/>
  <c r="B1408" i="37"/>
  <c r="G1408" i="37" s="1"/>
  <c r="C1408" i="37"/>
  <c r="D1408" i="37"/>
  <c r="H1408" i="37" s="1"/>
  <c r="B1409" i="37"/>
  <c r="G1409" i="37" s="1"/>
  <c r="C1409" i="37"/>
  <c r="D1409" i="37"/>
  <c r="B1410" i="37"/>
  <c r="G1410" i="37" s="1"/>
  <c r="C1410" i="37"/>
  <c r="D1410" i="37"/>
  <c r="H1410" i="37" s="1"/>
  <c r="B1411" i="37"/>
  <c r="B1412" i="37"/>
  <c r="B1413" i="37"/>
  <c r="G1413" i="37" s="1"/>
  <c r="C1413" i="37"/>
  <c r="D1413" i="37"/>
  <c r="B1414" i="37"/>
  <c r="G1414" i="37" s="1"/>
  <c r="C1414" i="37"/>
  <c r="D1414" i="37"/>
  <c r="H1414" i="37" s="1"/>
  <c r="B1415" i="37"/>
  <c r="G1415" i="37" s="1"/>
  <c r="C1415" i="37"/>
  <c r="D1415" i="37"/>
  <c r="B1416" i="37"/>
  <c r="G1416" i="37" s="1"/>
  <c r="C1416" i="37"/>
  <c r="D1416" i="37"/>
  <c r="H1416" i="37" s="1"/>
  <c r="B1417" i="37"/>
  <c r="G1417" i="37" s="1"/>
  <c r="C1417" i="37"/>
  <c r="D1417" i="37"/>
  <c r="B1418" i="37"/>
  <c r="G1418" i="37" s="1"/>
  <c r="C1418" i="37"/>
  <c r="D1418" i="37"/>
  <c r="H1418" i="37" s="1"/>
  <c r="B1419" i="37"/>
  <c r="G1419" i="37" s="1"/>
  <c r="C1419" i="37"/>
  <c r="D1419" i="37"/>
  <c r="B1420" i="37"/>
  <c r="G1420" i="37" s="1"/>
  <c r="C1420" i="37"/>
  <c r="D1420" i="37"/>
  <c r="H1420" i="37" s="1"/>
  <c r="B1421" i="37"/>
  <c r="G1421" i="37" s="1"/>
  <c r="C1421" i="37"/>
  <c r="D1421" i="37"/>
  <c r="B1422" i="37"/>
  <c r="G1422" i="37" s="1"/>
  <c r="C1422" i="37"/>
  <c r="D1422" i="37"/>
  <c r="H1422" i="37" s="1"/>
  <c r="B1423" i="37"/>
  <c r="B1424" i="37"/>
  <c r="B1425" i="37"/>
  <c r="B1426" i="37"/>
  <c r="B1427" i="37"/>
  <c r="G1427" i="37" s="1"/>
  <c r="I1427" i="37" s="1"/>
  <c r="C1427" i="37"/>
  <c r="D1427" i="37"/>
  <c r="B1428" i="37"/>
  <c r="G1428" i="37" s="1"/>
  <c r="I1428" i="37" s="1"/>
  <c r="C1428" i="37"/>
  <c r="D1428" i="37"/>
  <c r="B1429" i="37"/>
  <c r="G1429" i="37" s="1"/>
  <c r="C1429" i="37"/>
  <c r="D1429" i="37"/>
  <c r="H1429" i="37" s="1"/>
  <c r="B1430" i="37"/>
  <c r="G1430" i="37" s="1"/>
  <c r="C1430" i="37"/>
  <c r="D1430" i="37"/>
  <c r="H1430" i="37" s="1"/>
  <c r="B1431" i="37"/>
  <c r="G1431" i="37" s="1"/>
  <c r="I1431" i="37" s="1"/>
  <c r="C1431" i="37"/>
  <c r="D1431" i="37"/>
  <c r="B1432" i="37"/>
  <c r="G1432" i="37" s="1"/>
  <c r="I1432" i="37" s="1"/>
  <c r="C1432" i="37"/>
  <c r="D1432" i="37"/>
  <c r="B1433" i="37"/>
  <c r="B1434" i="37"/>
  <c r="C1434" i="37"/>
  <c r="H1434" i="37" s="1"/>
  <c r="D1434" i="37"/>
  <c r="G1434" i="37"/>
  <c r="B1435" i="37"/>
  <c r="C1435" i="37"/>
  <c r="D1435" i="37"/>
  <c r="G1435" i="37"/>
  <c r="B1436" i="37"/>
  <c r="C1436" i="37"/>
  <c r="H1436" i="37" s="1"/>
  <c r="D1436" i="37"/>
  <c r="G1436" i="37"/>
  <c r="B1437" i="37"/>
  <c r="C1437" i="37"/>
  <c r="D1437" i="37"/>
  <c r="G1437" i="37"/>
  <c r="B1438" i="37"/>
  <c r="C1438" i="37"/>
  <c r="H1438" i="37" s="1"/>
  <c r="D1438" i="37"/>
  <c r="G1438" i="37"/>
  <c r="B1439" i="37"/>
  <c r="C1439" i="37"/>
  <c r="D1439" i="37"/>
  <c r="G1439" i="37"/>
  <c r="B1440" i="37"/>
  <c r="C1440" i="37"/>
  <c r="H1440" i="37" s="1"/>
  <c r="D1440" i="37"/>
  <c r="G1440" i="37"/>
  <c r="B1441" i="37"/>
  <c r="B1442" i="37"/>
  <c r="B1443" i="37"/>
  <c r="C1443" i="37"/>
  <c r="D1443" i="37"/>
  <c r="G1443" i="37"/>
  <c r="B1444" i="37"/>
  <c r="C1444" i="37"/>
  <c r="H1444" i="37" s="1"/>
  <c r="D1444" i="37"/>
  <c r="G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G1474" i="37" s="1"/>
  <c r="B1475" i="37"/>
  <c r="C1475" i="37"/>
  <c r="B1476" i="37"/>
  <c r="C1476" i="37"/>
  <c r="H1476" i="37" s="1"/>
  <c r="B1477" i="37"/>
  <c r="C1477" i="37"/>
  <c r="G1477" i="37" s="1"/>
  <c r="B1478" i="37"/>
  <c r="C1478" i="37"/>
  <c r="B1479" i="37"/>
  <c r="C1479" i="37"/>
  <c r="H1479" i="37" s="1"/>
  <c r="B1480" i="37"/>
  <c r="B1481" i="37"/>
  <c r="C1481" i="37"/>
  <c r="G1481" i="37" s="1"/>
  <c r="B1482" i="37"/>
  <c r="C1482" i="37"/>
  <c r="B1483" i="37"/>
  <c r="G1483" i="37" s="1"/>
  <c r="C1483" i="37"/>
  <c r="B1484" i="37"/>
  <c r="C1484" i="37"/>
  <c r="H1484" i="37" s="1"/>
  <c r="B1485" i="37"/>
  <c r="C1485" i="37"/>
  <c r="G1485" i="37"/>
  <c r="B1486" i="37"/>
  <c r="B1487" i="37"/>
  <c r="G1487" i="37" s="1"/>
  <c r="C1487" i="37"/>
  <c r="B1488" i="37"/>
  <c r="B1489" i="37"/>
  <c r="C1489" i="37"/>
  <c r="G1489" i="37" s="1"/>
  <c r="B1490" i="37"/>
  <c r="C1490" i="37"/>
  <c r="G1490" i="37" s="1"/>
  <c r="B1491" i="37"/>
  <c r="C1491" i="37"/>
  <c r="B1492" i="37"/>
  <c r="C1492" i="37"/>
  <c r="H1492" i="37" s="1"/>
  <c r="B1493" i="37"/>
  <c r="C1493" i="37"/>
  <c r="G1493" i="37" s="1"/>
  <c r="B1494" i="37"/>
  <c r="C1494" i="37"/>
  <c r="B1495" i="37"/>
  <c r="C1495" i="37"/>
  <c r="B1496" i="37"/>
  <c r="C1496" i="37"/>
  <c r="H1496" i="37" s="1"/>
  <c r="B1497" i="37"/>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G1513" i="37" s="1"/>
  <c r="B1514" i="37"/>
  <c r="C1514" i="37"/>
  <c r="B1515" i="37"/>
  <c r="C1515" i="37"/>
  <c r="B1516" i="37"/>
  <c r="B1517" i="37"/>
  <c r="C1517" i="37"/>
  <c r="G1517" i="37" s="1"/>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G1533" i="37" s="1"/>
  <c r="B1534" i="37"/>
  <c r="C1534" i="37"/>
  <c r="B1535" i="37"/>
  <c r="G1535" i="37" s="1"/>
  <c r="C1535" i="37"/>
  <c r="B1536" i="37"/>
  <c r="B1537" i="37"/>
  <c r="C1537" i="37"/>
  <c r="G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G1553" i="37" s="1"/>
  <c r="B1554" i="37"/>
  <c r="C1554" i="37"/>
  <c r="B1555" i="37"/>
  <c r="G1555" i="37" s="1"/>
  <c r="C1555" i="37"/>
  <c r="B1556" i="37"/>
  <c r="G1556" i="37" s="1"/>
  <c r="C1556" i="37"/>
  <c r="H1556" i="37" s="1"/>
  <c r="B1557" i="37"/>
  <c r="B1558" i="37"/>
  <c r="C1558" i="37"/>
  <c r="B1559" i="37"/>
  <c r="G1559" i="37" s="1"/>
  <c r="C1559" i="37"/>
  <c r="B1560" i="37"/>
  <c r="G1560" i="37" s="1"/>
  <c r="C1560" i="37"/>
  <c r="H1560" i="37" s="1"/>
  <c r="B1561" i="37"/>
  <c r="C1561" i="37"/>
  <c r="G1561" i="37"/>
  <c r="Q3" i="3"/>
  <c r="H1561" i="37"/>
  <c r="H1559" i="37"/>
  <c r="H1555" i="37"/>
  <c r="H1549" i="37"/>
  <c r="H1545" i="37"/>
  <c r="H1539" i="37"/>
  <c r="H1535" i="37"/>
  <c r="H1529" i="37"/>
  <c r="H1525" i="37"/>
  <c r="H1519" i="37"/>
  <c r="H1515" i="37"/>
  <c r="H1509" i="37"/>
  <c r="H1507" i="37"/>
  <c r="H1501" i="37"/>
  <c r="H1499" i="37"/>
  <c r="H1495" i="37"/>
  <c r="H1491" i="37"/>
  <c r="H1489" i="37"/>
  <c r="H1487" i="37"/>
  <c r="H1485" i="37"/>
  <c r="H1483" i="37"/>
  <c r="H1475" i="37"/>
  <c r="H1465" i="37"/>
  <c r="H1445" i="37"/>
  <c r="H1443" i="37"/>
  <c r="H1439" i="37"/>
  <c r="H1437" i="37"/>
  <c r="H1435" i="37"/>
  <c r="H1432" i="37"/>
  <c r="H1431" i="37"/>
  <c r="H1428" i="37"/>
  <c r="H1427" i="37"/>
  <c r="H1421" i="37"/>
  <c r="H1419" i="37"/>
  <c r="H1417" i="37"/>
  <c r="H1415" i="37"/>
  <c r="H1413" i="37"/>
  <c r="H1409" i="37"/>
  <c r="H1407" i="37"/>
  <c r="H1405" i="37"/>
  <c r="H1402" i="37"/>
  <c r="H1399" i="37"/>
  <c r="H1395" i="37"/>
  <c r="H1393" i="37"/>
  <c r="H1391" i="37"/>
  <c r="H1388" i="37"/>
  <c r="H1386"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G25" i="3"/>
  <c r="E25" i="3" s="1"/>
  <c r="B25" i="3" s="1"/>
  <c r="G26" i="3"/>
  <c r="E26" i="3" s="1"/>
  <c r="B26" i="3" s="1"/>
  <c r="G27" i="3"/>
  <c r="H27" i="3"/>
  <c r="G28" i="3"/>
  <c r="H28" i="3"/>
  <c r="E28" i="3"/>
  <c r="G29" i="3"/>
  <c r="H29" i="3"/>
  <c r="E29" i="3" s="1"/>
  <c r="B29" i="3" s="1"/>
  <c r="G31" i="3"/>
  <c r="E31" i="3" s="1"/>
  <c r="H31" i="3"/>
  <c r="G32" i="3"/>
  <c r="H32" i="3"/>
  <c r="G33" i="3"/>
  <c r="H33" i="3"/>
  <c r="G34" i="3"/>
  <c r="H34" i="3"/>
  <c r="G35" i="3"/>
  <c r="E35" i="3" s="1"/>
  <c r="H35" i="3"/>
  <c r="G36" i="3"/>
  <c r="H36" i="3"/>
  <c r="G37" i="3"/>
  <c r="H37" i="3"/>
  <c r="E37" i="3"/>
  <c r="B37" i="3" s="1"/>
  <c r="G38" i="3"/>
  <c r="H38" i="3"/>
  <c r="E38" i="3" s="1"/>
  <c r="G39" i="3"/>
  <c r="H39" i="3"/>
  <c r="G40" i="3"/>
  <c r="H40" i="3"/>
  <c r="G41" i="3"/>
  <c r="H41" i="3"/>
  <c r="E41" i="3" s="1"/>
  <c r="B41" i="3" s="1"/>
  <c r="G42" i="3"/>
  <c r="H42" i="3"/>
  <c r="E42" i="3" s="1"/>
  <c r="G43" i="3"/>
  <c r="E43" i="3" s="1"/>
  <c r="H43" i="3"/>
  <c r="G44" i="3"/>
  <c r="H44" i="3"/>
  <c r="G45" i="3"/>
  <c r="H45" i="3"/>
  <c r="E45" i="3" s="1"/>
  <c r="B45" i="3" s="1"/>
  <c r="G46" i="3"/>
  <c r="H46" i="3"/>
  <c r="E46" i="3" s="1"/>
  <c r="G47" i="3"/>
  <c r="E47" i="3" s="1"/>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G59" i="3"/>
  <c r="E59" i="3" s="1"/>
  <c r="H59" i="3"/>
  <c r="G60" i="3"/>
  <c r="H60" i="3"/>
  <c r="G61" i="3"/>
  <c r="H61" i="3"/>
  <c r="E61" i="3"/>
  <c r="B61" i="3" s="1"/>
  <c r="G62" i="3"/>
  <c r="H62" i="3"/>
  <c r="E62" i="3" s="1"/>
  <c r="G63" i="3"/>
  <c r="E63" i="3" s="1"/>
  <c r="H63" i="3"/>
  <c r="G64" i="3"/>
  <c r="H64" i="3"/>
  <c r="G65" i="3"/>
  <c r="H65" i="3"/>
  <c r="E65" i="3"/>
  <c r="B65" i="3" s="1"/>
  <c r="G66" i="3"/>
  <c r="H66" i="3"/>
  <c r="E66" i="3" s="1"/>
  <c r="G67" i="3"/>
  <c r="E67" i="3" s="1"/>
  <c r="H67" i="3"/>
  <c r="G68" i="3"/>
  <c r="H68" i="3"/>
  <c r="G69" i="3"/>
  <c r="H69" i="3"/>
  <c r="E69" i="3"/>
  <c r="B69" i="3" s="1"/>
  <c r="G70" i="3"/>
  <c r="H70" i="3"/>
  <c r="E70" i="3" s="1"/>
  <c r="G71" i="3"/>
  <c r="E71" i="3" s="1"/>
  <c r="H71" i="3"/>
  <c r="G72" i="3"/>
  <c r="H72" i="3"/>
  <c r="G73" i="3"/>
  <c r="H73" i="3"/>
  <c r="E73" i="3"/>
  <c r="B73" i="3" s="1"/>
  <c r="G74" i="3"/>
  <c r="H74" i="3"/>
  <c r="E74" i="3" s="1"/>
  <c r="G75" i="3"/>
  <c r="E75" i="3" s="1"/>
  <c r="H75" i="3"/>
  <c r="G76" i="3"/>
  <c r="H76" i="3"/>
  <c r="G77" i="3"/>
  <c r="H77" i="3"/>
  <c r="E77" i="3"/>
  <c r="B77" i="3" s="1"/>
  <c r="G78" i="3"/>
  <c r="H78" i="3"/>
  <c r="E78" i="3" s="1"/>
  <c r="G79" i="3"/>
  <c r="E79" i="3" s="1"/>
  <c r="H79" i="3"/>
  <c r="G80" i="3"/>
  <c r="H80" i="3"/>
  <c r="G81" i="3"/>
  <c r="H81" i="3"/>
  <c r="E81" i="3"/>
  <c r="B81" i="3" s="1"/>
  <c r="G82" i="3"/>
  <c r="H82" i="3"/>
  <c r="E82" i="3" s="1"/>
  <c r="G83" i="3"/>
  <c r="E83" i="3" s="1"/>
  <c r="H83" i="3"/>
  <c r="G84" i="3"/>
  <c r="H84" i="3"/>
  <c r="G85" i="3"/>
  <c r="H85" i="3"/>
  <c r="E85" i="3"/>
  <c r="B85" i="3" s="1"/>
  <c r="G86" i="3"/>
  <c r="H86" i="3"/>
  <c r="E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G99" i="3"/>
  <c r="E99" i="3" s="1"/>
  <c r="H99" i="3"/>
  <c r="G100" i="3"/>
  <c r="H100" i="3"/>
  <c r="G101" i="3"/>
  <c r="H101" i="3"/>
  <c r="E101" i="3"/>
  <c r="B101" i="3" s="1"/>
  <c r="G102" i="3"/>
  <c r="H102" i="3"/>
  <c r="E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G123" i="3"/>
  <c r="E123" i="3" s="1"/>
  <c r="H123" i="3"/>
  <c r="G124" i="3"/>
  <c r="H124" i="3"/>
  <c r="G125" i="3"/>
  <c r="H125" i="3"/>
  <c r="E125" i="3"/>
  <c r="B125" i="3" s="1"/>
  <c r="G126" i="3"/>
  <c r="H126" i="3"/>
  <c r="E126" i="3" s="1"/>
  <c r="G127" i="3"/>
  <c r="E127" i="3" s="1"/>
  <c r="B127" i="3" s="1"/>
  <c r="H127" i="3"/>
  <c r="G128" i="3"/>
  <c r="E128" i="3" s="1"/>
  <c r="H128" i="3"/>
  <c r="G129" i="3"/>
  <c r="H129" i="3"/>
  <c r="E129" i="3"/>
  <c r="B129" i="3" s="1"/>
  <c r="G130" i="3"/>
  <c r="H130" i="3"/>
  <c r="E130" i="3" s="1"/>
  <c r="G131" i="3"/>
  <c r="E131" i="3" s="1"/>
  <c r="H131" i="3"/>
  <c r="G132" i="3"/>
  <c r="H132" i="3"/>
  <c r="G133" i="3"/>
  <c r="H133" i="3"/>
  <c r="E133" i="3"/>
  <c r="B133" i="3" s="1"/>
  <c r="G134" i="3"/>
  <c r="H134" i="3"/>
  <c r="E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G143" i="3"/>
  <c r="E143" i="3" s="1"/>
  <c r="H143" i="3"/>
  <c r="G144" i="3"/>
  <c r="E144" i="3" s="1"/>
  <c r="B144" i="3" s="1"/>
  <c r="H144" i="3"/>
  <c r="G145" i="3"/>
  <c r="H145" i="3"/>
  <c r="E145" i="3"/>
  <c r="B145" i="3" s="1"/>
  <c r="G146" i="3"/>
  <c r="H146" i="3"/>
  <c r="E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4" i="3"/>
  <c r="E164" i="3" s="1"/>
  <c r="G166" i="3"/>
  <c r="E166" i="3" s="1"/>
  <c r="B166" i="3" s="1"/>
  <c r="G212" i="3"/>
  <c r="H212" i="3"/>
  <c r="G260" i="3"/>
  <c r="H260" i="3"/>
  <c r="G263" i="3"/>
  <c r="H263" i="3"/>
  <c r="G264" i="3"/>
  <c r="H264" i="3"/>
  <c r="E264" i="3"/>
  <c r="G265" i="3"/>
  <c r="H265" i="3"/>
  <c r="E265" i="3" s="1"/>
  <c r="G268" i="3"/>
  <c r="H268" i="3"/>
  <c r="E268" i="3"/>
  <c r="G269" i="3"/>
  <c r="H269" i="3"/>
  <c r="E269" i="3" s="1"/>
  <c r="G270" i="3"/>
  <c r="E270" i="3" s="1"/>
  <c r="H270" i="3"/>
  <c r="G271" i="3"/>
  <c r="H271" i="3"/>
  <c r="G272" i="3"/>
  <c r="H272" i="3"/>
  <c r="E272" i="3"/>
  <c r="G273" i="3"/>
  <c r="H273" i="3"/>
  <c r="E273" i="3" s="1"/>
  <c r="G274" i="3"/>
  <c r="E274" i="3" s="1"/>
  <c r="H274" i="3"/>
  <c r="G275" i="3"/>
  <c r="E275" i="3" s="1"/>
  <c r="H275" i="3"/>
  <c r="G276" i="3"/>
  <c r="H276" i="3"/>
  <c r="E276" i="3"/>
  <c r="G277" i="3"/>
  <c r="H277" i="3"/>
  <c r="E277" i="3" s="1"/>
  <c r="G278" i="3"/>
  <c r="E278" i="3" s="1"/>
  <c r="G279" i="3"/>
  <c r="H279" i="3"/>
  <c r="E279" i="3" s="1"/>
  <c r="G280" i="3"/>
  <c r="H280" i="3"/>
  <c r="E280" i="3"/>
  <c r="G283" i="3"/>
  <c r="H283" i="3"/>
  <c r="E283" i="3" s="1"/>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8" i="3" s="1"/>
  <c r="F287" i="3"/>
  <c r="F286" i="3"/>
  <c r="F285" i="3"/>
  <c r="F284" i="3"/>
  <c r="F283" i="3"/>
  <c r="F282" i="3"/>
  <c r="F281" i="3"/>
  <c r="F280" i="3"/>
  <c r="B280" i="3" s="1"/>
  <c r="F279" i="3"/>
  <c r="F278" i="3"/>
  <c r="F277" i="3"/>
  <c r="B277" i="3"/>
  <c r="F276" i="3"/>
  <c r="F275" i="3"/>
  <c r="B275" i="3" s="1"/>
  <c r="F274" i="3"/>
  <c r="B274" i="3" s="1"/>
  <c r="F273" i="3"/>
  <c r="F272" i="3"/>
  <c r="B272" i="3" s="1"/>
  <c r="F271" i="3"/>
  <c r="F270" i="3"/>
  <c r="F269" i="3"/>
  <c r="F268" i="3"/>
  <c r="F267" i="3"/>
  <c r="F266" i="3"/>
  <c r="F261" i="3" s="1"/>
  <c r="F265" i="3"/>
  <c r="B265" i="3"/>
  <c r="F264" i="3"/>
  <c r="B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s="1"/>
  <c r="B208" i="3" s="1"/>
  <c r="L207" i="3"/>
  <c r="M207" i="3"/>
  <c r="L206" i="3"/>
  <c r="M206" i="3"/>
  <c r="L205" i="3"/>
  <c r="M205" i="3"/>
  <c r="L204" i="3"/>
  <c r="M204" i="3"/>
  <c r="F204" i="3" s="1"/>
  <c r="B204" i="3" s="1"/>
  <c r="L203" i="3"/>
  <c r="M203" i="3"/>
  <c r="L202" i="3"/>
  <c r="M202" i="3"/>
  <c r="L201" i="3"/>
  <c r="M201" i="3"/>
  <c r="L200" i="3"/>
  <c r="M200" i="3"/>
  <c r="F200" i="3"/>
  <c r="B200" i="3" s="1"/>
  <c r="L199" i="3"/>
  <c r="M199" i="3"/>
  <c r="B164" i="3"/>
  <c r="B151" i="3"/>
  <c r="B146" i="3"/>
  <c r="B143" i="3"/>
  <c r="B142" i="3"/>
  <c r="B136" i="3"/>
  <c r="B135" i="3"/>
  <c r="B134" i="3"/>
  <c r="B131" i="3"/>
  <c r="B130" i="3"/>
  <c r="B128" i="3"/>
  <c r="B126" i="3"/>
  <c r="B123" i="3"/>
  <c r="B122" i="3"/>
  <c r="B120" i="3"/>
  <c r="B119" i="3"/>
  <c r="B115" i="3"/>
  <c r="B112" i="3"/>
  <c r="B107" i="3"/>
  <c r="B104" i="3"/>
  <c r="B103" i="3"/>
  <c r="B102" i="3"/>
  <c r="B99" i="3"/>
  <c r="B98" i="3"/>
  <c r="B96" i="3"/>
  <c r="B95" i="3"/>
  <c r="B91" i="3"/>
  <c r="B88" i="3"/>
  <c r="B87" i="3"/>
  <c r="B86" i="3"/>
  <c r="B83" i="3"/>
  <c r="B82" i="3"/>
  <c r="B79" i="3"/>
  <c r="B78" i="3"/>
  <c r="B75" i="3"/>
  <c r="B74" i="3"/>
  <c r="B71" i="3"/>
  <c r="B70" i="3"/>
  <c r="B67" i="3"/>
  <c r="B66" i="3"/>
  <c r="B63" i="3"/>
  <c r="B62" i="3"/>
  <c r="B59" i="3"/>
  <c r="B58" i="3"/>
  <c r="B55" i="3"/>
  <c r="B54" i="3"/>
  <c r="B51" i="3"/>
  <c r="B50" i="3"/>
  <c r="B47" i="3"/>
  <c r="B46" i="3"/>
  <c r="B43" i="3"/>
  <c r="B42" i="3"/>
  <c r="B38" i="3"/>
  <c r="B35" i="3"/>
  <c r="B31" i="3"/>
  <c r="B30" i="3"/>
  <c r="B28" i="3"/>
  <c r="L7" i="3"/>
  <c r="F7" i="3" s="1"/>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D68" i="36"/>
  <c r="C1343" i="37" s="1"/>
  <c r="D73" i="36"/>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D101" i="36"/>
  <c r="C1376" i="37" s="1"/>
  <c r="D106" i="36"/>
  <c r="E97" i="36"/>
  <c r="E101" i="36"/>
  <c r="D1376" i="37" s="1"/>
  <c r="E106" i="36"/>
  <c r="D1381" i="37" s="1"/>
  <c r="D114" i="36"/>
  <c r="E114" i="36"/>
  <c r="D1389" i="37" s="1"/>
  <c r="D122" i="36"/>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E239" i="27"/>
  <c r="D1204" i="37" s="1"/>
  <c r="F238" i="27"/>
  <c r="F237" i="27"/>
  <c r="D236" i="27"/>
  <c r="C1201" i="37" s="1"/>
  <c r="F236" i="27"/>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83" i="1"/>
  <c r="C57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H195" i="37" s="1"/>
  <c r="D210" i="1"/>
  <c r="C200" i="37" s="1"/>
  <c r="D218" i="1"/>
  <c r="C208" i="37" s="1"/>
  <c r="D204" i="1"/>
  <c r="C194"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24" i="1"/>
  <c r="D463" i="1"/>
  <c r="D466" i="1"/>
  <c r="C454" i="37" s="1"/>
  <c r="D469" i="1"/>
  <c r="D472" i="1"/>
  <c r="C460" i="37" s="1"/>
  <c r="D476" i="1"/>
  <c r="C464" i="37" s="1"/>
  <c r="D481" i="1"/>
  <c r="C469" i="37" s="1"/>
  <c r="D484" i="1"/>
  <c r="C472" i="37" s="1"/>
  <c r="D488" i="1"/>
  <c r="D493" i="1"/>
  <c r="C481" i="37" s="1"/>
  <c r="D498" i="1"/>
  <c r="C486" i="37" s="1"/>
  <c r="D505" i="1"/>
  <c r="C493" i="37" s="1"/>
  <c r="D510" i="1"/>
  <c r="D519" i="1"/>
  <c r="C507" i="37" s="1"/>
  <c r="D522" i="1"/>
  <c r="D525" i="1"/>
  <c r="D528" i="1"/>
  <c r="D14" i="1"/>
  <c r="F14" i="1" s="1"/>
  <c r="D23" i="1"/>
  <c r="D29" i="1"/>
  <c r="C19" i="37" s="1"/>
  <c r="H19" i="37" s="1"/>
  <c r="D35" i="1"/>
  <c r="C25" i="37" s="1"/>
  <c r="D43" i="1"/>
  <c r="C33" i="37" s="1"/>
  <c r="D46" i="1"/>
  <c r="C36" i="37" s="1"/>
  <c r="D13" i="1"/>
  <c r="C3" i="37" s="1"/>
  <c r="D51" i="1"/>
  <c r="C41" i="37" s="1"/>
  <c r="H41" i="37" s="1"/>
  <c r="D57" i="1"/>
  <c r="C47" i="37" s="1"/>
  <c r="D60" i="1"/>
  <c r="C50" i="37" s="1"/>
  <c r="D65" i="1"/>
  <c r="D68" i="1"/>
  <c r="C58" i="37" s="1"/>
  <c r="D71" i="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16" i="1"/>
  <c r="C106" i="37" s="1"/>
  <c r="D135" i="1"/>
  <c r="C125" i="37" s="1"/>
  <c r="D138" i="1"/>
  <c r="D142" i="1"/>
  <c r="D141" i="1" s="1"/>
  <c r="D148" i="1"/>
  <c r="C138" i="37" s="1"/>
  <c r="D147" i="1"/>
  <c r="D303" i="1"/>
  <c r="C292" i="37" s="1"/>
  <c r="D307" i="1"/>
  <c r="D315" i="1"/>
  <c r="C304" i="37" s="1"/>
  <c r="H304" i="37" s="1"/>
  <c r="D320" i="1"/>
  <c r="C309" i="37" s="1"/>
  <c r="D329" i="1"/>
  <c r="C318" i="37" s="1"/>
  <c r="D334" i="1"/>
  <c r="C323" i="37" s="1"/>
  <c r="D339" i="1"/>
  <c r="C328" i="37" s="1"/>
  <c r="H328" i="37" s="1"/>
  <c r="D342" i="1"/>
  <c r="C331" i="37" s="1"/>
  <c r="D348" i="1"/>
  <c r="D351" i="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4" i="1"/>
  <c r="F83" i="1"/>
  <c r="F82" i="1"/>
  <c r="F81" i="1"/>
  <c r="F80" i="1"/>
  <c r="F79" i="1"/>
  <c r="F78" i="1"/>
  <c r="F76" i="1"/>
  <c r="F75" i="1"/>
  <c r="F73" i="1"/>
  <c r="F72" i="1"/>
  <c r="F70" i="1"/>
  <c r="F69" i="1"/>
  <c r="F68" i="1"/>
  <c r="F67" i="1"/>
  <c r="F66"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97" i="36"/>
  <c r="E285" i="3" l="1"/>
  <c r="B285" i="3" s="1"/>
  <c r="E263" i="3"/>
  <c r="B263" i="3" s="1"/>
  <c r="G1151" i="37"/>
  <c r="F201" i="3"/>
  <c r="B201" i="3" s="1"/>
  <c r="D75" i="27"/>
  <c r="C1040" i="37" s="1"/>
  <c r="F76" i="27"/>
  <c r="F69" i="27"/>
  <c r="F58" i="27"/>
  <c r="G1021" i="37"/>
  <c r="D18" i="27"/>
  <c r="C983" i="37" s="1"/>
  <c r="F292" i="3"/>
  <c r="G1515" i="37"/>
  <c r="H1473" i="37"/>
  <c r="G1479" i="37"/>
  <c r="G1496" i="37"/>
  <c r="G1495" i="37"/>
  <c r="G1472" i="37"/>
  <c r="G1468" i="37"/>
  <c r="G1391" i="37"/>
  <c r="E39" i="3"/>
  <c r="B39" i="3" s="1"/>
  <c r="K20" i="37"/>
  <c r="H173" i="3"/>
  <c r="E260" i="3"/>
  <c r="E33" i="3"/>
  <c r="B33" i="3" s="1"/>
  <c r="G641" i="37"/>
  <c r="G640" i="37"/>
  <c r="G639" i="37"/>
  <c r="G385" i="37"/>
  <c r="G363" i="37"/>
  <c r="F205" i="3"/>
  <c r="B205" i="3" s="1"/>
  <c r="D160" i="1"/>
  <c r="E34" i="3"/>
  <c r="B34" i="3" s="1"/>
  <c r="G65" i="37"/>
  <c r="D132" i="37"/>
  <c r="E141" i="1"/>
  <c r="D131" i="37" s="1"/>
  <c r="D521" i="37"/>
  <c r="E532" i="1"/>
  <c r="D520" i="37" s="1"/>
  <c r="C337" i="37"/>
  <c r="D347" i="1"/>
  <c r="C336" i="37" s="1"/>
  <c r="C128" i="37"/>
  <c r="D134" i="1"/>
  <c r="C61" i="37"/>
  <c r="F71" i="1"/>
  <c r="C55" i="37"/>
  <c r="F65" i="1"/>
  <c r="C217" i="37"/>
  <c r="D223" i="1"/>
  <c r="F227" i="1"/>
  <c r="C186" i="37"/>
  <c r="F196" i="1"/>
  <c r="C620" i="37"/>
  <c r="F632" i="1"/>
  <c r="C608" i="37"/>
  <c r="F620" i="1"/>
  <c r="C596" i="37"/>
  <c r="F608" i="1"/>
  <c r="C578" i="37"/>
  <c r="F590" i="1"/>
  <c r="C572" i="37"/>
  <c r="F584" i="1"/>
  <c r="C565" i="37"/>
  <c r="F577" i="1"/>
  <c r="D1089" i="37"/>
  <c r="E123" i="27"/>
  <c r="D1088" i="37" s="1"/>
  <c r="C1160" i="37"/>
  <c r="F195" i="27"/>
  <c r="C1433" i="37"/>
  <c r="D13" i="33"/>
  <c r="C1425" i="37" s="1"/>
  <c r="D1372" i="37"/>
  <c r="E96" i="36"/>
  <c r="D1371" i="37" s="1"/>
  <c r="D1318" i="37"/>
  <c r="E42" i="36"/>
  <c r="D1317" i="37" s="1"/>
  <c r="D1288" i="37"/>
  <c r="E12" i="36"/>
  <c r="C1497" i="37"/>
  <c r="H1497" i="37" s="1"/>
  <c r="D30" i="30"/>
  <c r="C1486" i="37" s="1"/>
  <c r="H1486" i="37" s="1"/>
  <c r="B279" i="3"/>
  <c r="B273" i="3"/>
  <c r="I1430" i="37"/>
  <c r="F43" i="1"/>
  <c r="F57" i="1"/>
  <c r="F77" i="1"/>
  <c r="F101" i="1"/>
  <c r="F122" i="1"/>
  <c r="F138" i="1"/>
  <c r="F161" i="1"/>
  <c r="F177" i="1"/>
  <c r="C410" i="37"/>
  <c r="F421" i="1"/>
  <c r="F602" i="1"/>
  <c r="D309" i="37"/>
  <c r="E314" i="1"/>
  <c r="D303" i="37" s="1"/>
  <c r="D254" i="37"/>
  <c r="E257" i="1"/>
  <c r="D247" i="37" s="1"/>
  <c r="C408" i="37"/>
  <c r="D647" i="1"/>
  <c r="C635" i="37" s="1"/>
  <c r="C340" i="37"/>
  <c r="F351" i="1"/>
  <c r="C296" i="37"/>
  <c r="D302" i="1"/>
  <c r="C137" i="37"/>
  <c r="F147" i="1"/>
  <c r="C516" i="37"/>
  <c r="F528" i="1"/>
  <c r="C510" i="37"/>
  <c r="D518" i="1"/>
  <c r="C506" i="37" s="1"/>
  <c r="F522" i="1"/>
  <c r="C498" i="37"/>
  <c r="F510" i="1"/>
  <c r="C412" i="37"/>
  <c r="F424" i="1"/>
  <c r="C418" i="37"/>
  <c r="F430" i="1"/>
  <c r="C394" i="37"/>
  <c r="F405" i="1"/>
  <c r="C281" i="37"/>
  <c r="F291" i="1"/>
  <c r="G223" i="37"/>
  <c r="C1016" i="37"/>
  <c r="F51" i="27"/>
  <c r="C1096" i="37"/>
  <c r="F131" i="27"/>
  <c r="D1143" i="37"/>
  <c r="E175" i="27"/>
  <c r="C1204" i="37"/>
  <c r="F239" i="27"/>
  <c r="C1412" i="37"/>
  <c r="D136" i="36"/>
  <c r="C1411" i="37" s="1"/>
  <c r="F137" i="36"/>
  <c r="C1397" i="37"/>
  <c r="F122" i="36"/>
  <c r="C1389" i="37"/>
  <c r="H1389" i="37" s="1"/>
  <c r="F114" i="36"/>
  <c r="C1381" i="37"/>
  <c r="F106" i="36"/>
  <c r="C1372" i="37"/>
  <c r="D96" i="36"/>
  <c r="C1357" i="37"/>
  <c r="H1357" i="37" s="1"/>
  <c r="F82" i="36"/>
  <c r="C1348" i="37"/>
  <c r="F73" i="36"/>
  <c r="C1336" i="37"/>
  <c r="F61" i="36"/>
  <c r="C1318" i="37"/>
  <c r="D42" i="36"/>
  <c r="H1295" i="37"/>
  <c r="C1288" i="37"/>
  <c r="D12" i="36"/>
  <c r="C1287" i="37" s="1"/>
  <c r="F13" i="36"/>
  <c r="C1557" i="37"/>
  <c r="H1557" i="37" s="1"/>
  <c r="K59" i="42"/>
  <c r="B283" i="3"/>
  <c r="B269" i="3"/>
  <c r="G1557" i="37"/>
  <c r="G1497" i="37"/>
  <c r="I1429" i="37"/>
  <c r="I7" i="3"/>
  <c r="G5" i="3"/>
  <c r="E5" i="3" s="1"/>
  <c r="B5" i="3" s="1"/>
  <c r="H1447" i="37"/>
  <c r="H1467" i="37"/>
  <c r="H1477" i="37"/>
  <c r="H1481" i="37"/>
  <c r="H1493" i="37"/>
  <c r="H1513" i="37"/>
  <c r="H1517" i="37"/>
  <c r="H1533" i="37"/>
  <c r="H1537" i="37"/>
  <c r="H1553"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32" i="37"/>
  <c r="G1030" i="37"/>
  <c r="G1028" i="37"/>
  <c r="G1010" i="37"/>
  <c r="G1008" i="37"/>
  <c r="G989" i="37"/>
  <c r="G987" i="37"/>
  <c r="G985" i="37"/>
  <c r="G981" i="37"/>
  <c r="H273" i="37"/>
  <c r="H64" i="37"/>
  <c r="H50" i="37"/>
  <c r="G179" i="3"/>
  <c r="E179" i="3" s="1"/>
  <c r="B179" i="3" s="1"/>
  <c r="G481" i="37"/>
  <c r="D462" i="1"/>
  <c r="H162" i="37"/>
  <c r="D628" i="1"/>
  <c r="G541" i="37"/>
  <c r="E92" i="27"/>
  <c r="G1089" i="37"/>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I1444" i="37"/>
  <c r="I1440" i="37"/>
  <c r="I1439" i="37"/>
  <c r="I1438" i="37"/>
  <c r="I1437" i="37"/>
  <c r="I1436" i="37"/>
  <c r="I1435" i="37"/>
  <c r="I1434" i="37"/>
  <c r="G1331" i="37"/>
  <c r="G1329" i="37"/>
  <c r="G1327" i="37"/>
  <c r="G1316" i="37"/>
  <c r="G1314" i="37"/>
  <c r="G1312" i="37"/>
  <c r="G1291" i="37"/>
  <c r="G1289" i="37"/>
  <c r="D1058" i="37"/>
  <c r="G1033" i="37"/>
  <c r="G1031"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F18" i="27" l="1"/>
  <c r="D47" i="30"/>
  <c r="C1503" i="37" s="1"/>
  <c r="F160" i="1"/>
  <c r="F116" i="1"/>
  <c r="I1448" i="37"/>
  <c r="I1451" i="37"/>
  <c r="I1455" i="37"/>
  <c r="I1461" i="37"/>
  <c r="I1464" i="37"/>
  <c r="E24" i="3"/>
  <c r="G1049" i="37"/>
  <c r="H635" i="37"/>
  <c r="C291" i="37"/>
  <c r="F302" i="1"/>
  <c r="C213" i="37"/>
  <c r="H213" i="37" s="1"/>
  <c r="F223" i="1"/>
  <c r="C124" i="37"/>
  <c r="F134" i="1"/>
  <c r="E163" i="3"/>
  <c r="B163" i="3" s="1"/>
  <c r="H1104" i="37"/>
  <c r="C1317" i="37"/>
  <c r="F42" i="36"/>
  <c r="C1371" i="37"/>
  <c r="F96" i="36"/>
  <c r="G1389" i="37"/>
  <c r="D1287" i="37"/>
  <c r="K47" i="42"/>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G150" i="37"/>
  <c r="H150" i="37"/>
  <c r="C222" i="37"/>
  <c r="F232" i="1"/>
  <c r="C1457" i="37"/>
  <c r="J54" i="42"/>
  <c r="G585" i="37"/>
  <c r="H585" i="37"/>
  <c r="G1168" i="37"/>
  <c r="H1168" i="37"/>
  <c r="E74" i="27"/>
  <c r="G616" i="37"/>
  <c r="H616" i="37"/>
  <c r="K57" i="42" l="1"/>
  <c r="G291" i="3"/>
  <c r="E291" i="3" s="1"/>
  <c r="B291" i="3" s="1"/>
  <c r="G295" i="3"/>
  <c r="E295" i="3" s="1"/>
  <c r="B295" i="3" s="1"/>
  <c r="G1116" i="37"/>
  <c r="H1371" i="37"/>
  <c r="G1371" i="37"/>
  <c r="H1317" i="37"/>
  <c r="G1317" i="37"/>
  <c r="H124" i="37"/>
  <c r="G124" i="37"/>
  <c r="H1287" i="37"/>
  <c r="G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F417" i="1" l="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c r="E157" i="3" s="1"/>
  <c r="J3" i="3" l="1"/>
  <c r="L2" i="37"/>
  <c r="K2" i="37"/>
  <c r="G637" i="37"/>
  <c r="L28" i="37" s="1"/>
  <c r="G8" i="3" s="1"/>
  <c r="E8" i="3" s="1"/>
  <c r="B8" i="3" s="1"/>
  <c r="H637" i="37"/>
  <c r="B157" i="3"/>
  <c r="G636" i="37"/>
  <c r="H636" i="37"/>
  <c r="K29" i="37" s="1"/>
  <c r="H158" i="3" l="1"/>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<sst xmlns="http://schemas.openxmlformats.org/spreadsheetml/2006/main" count="4758" uniqueCount="4302">
  <si>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</si>
  <si>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</si>
  <si>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</si>
  <si>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</si>
  <si>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</si>
  <si>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</si>
  <si>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</si>
  <si>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</si>
  <si>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</si>
  <si>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</si>
  <si>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</si>
  <si>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</si>
  <si>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</si>
  <si>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</si>
  <si>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</si>
  <si>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</si>
  <si>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</si>
  <si>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</si>
  <si>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</si>
  <si>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</si>
  <si>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</si>
  <si>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</si>
  <si>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</si>
  <si>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</si>
  <si>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</si>
  <si>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</si>
  <si>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</si>
  <si>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</si>
  <si>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</si>
  <si>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</si>
  <si>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</si>
  <si>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</si>
  <si>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</si>
  <si>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</si>
  <si>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</si>
  <si>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</si>
  <si>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</si>
  <si>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</si>
  <si>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</si>
  <si>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</si>
  <si>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</si>
  <si>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</si>
  <si>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</si>
  <si>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</si>
  <si>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</si>
  <si>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</si>
  <si>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</si>
  <si>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</si>
  <si>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</si>
  <si>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</si>
  <si>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</si>
  <si>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</si>
  <si>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</si>
  <si>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</si>
  <si>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</si>
  <si>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</si>
  <si>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</si>
  <si>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</si>
  <si>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</si>
  <si>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</si>
  <si>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</si>
  <si>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</si>
  <si>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</si>
  <si>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</si>
  <si>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</si>
  <si>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</si>
  <si>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</si>
  <si>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</si>
  <si>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</si>
  <si>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</si>
  <si>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</si>
  <si>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</si>
  <si>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</si>
  <si>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</si>
  <si>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</si>
  <si>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</si>
  <si>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</si>
  <si>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</si>
  <si>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</si>
  <si>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</si>
  <si>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</si>
  <si>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</si>
  <si>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</si>
  <si>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</si>
  <si>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</si>
  <si>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</si>
  <si>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</si>
  <si>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</si>
  <si>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</si>
  <si>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</si>
  <si>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</si>
  <si>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</si>
  <si>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</si>
  <si>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</si>
  <si>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</si>
  <si>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</si>
  <si>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</si>
  <si>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</si>
  <si>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</si>
  <si>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</si>
  <si>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</si>
  <si>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</si>
  <si>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</si>
  <si>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</si>
  <si>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</si>
  <si>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</si>
  <si>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</si>
  <si>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</si>
  <si>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</si>
  <si>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</si>
  <si>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</si>
  <si>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</si>
  <si>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</si>
  <si>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</si>
  <si>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</si>
  <si>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</si>
  <si>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</si>
  <si>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</si>
  <si>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</si>
  <si>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</si>
  <si>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</si>
  <si>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</si>
  <si>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</si>
  <si>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</si>
  <si>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</si>
  <si>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</si>
  <si>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</si>
  <si>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</si>
  <si>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</si>
  <si>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</si>
  <si>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</si>
  <si>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</si>
  <si>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</si>
  <si>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</si>
  <si>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</si>
  <si>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</si>
  <si>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</si>
  <si>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</si>
  <si>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</si>
  <si>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</si>
  <si>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</si>
  <si>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</si>
  <si>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</si>
  <si>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</si>
  <si>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</si>
  <si>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</si>
  <si>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</si>
  <si>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</si>
  <si>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</si>
  <si>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</si>
  <si>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</si>
  <si>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</si>
  <si>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</si>
  <si>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</si>
  <si>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</si>
  <si>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</si>
  <si>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</si>
  <si>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</si>
  <si>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</si>
  <si>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</si>
  <si>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</si>
  <si>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</si>
  <si>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</si>
  <si>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</si>
  <si>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</si>
  <si>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</si>
  <si>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</si>
  <si>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</si>
  <si>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</si>
  <si>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</si>
  <si>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</si>
  <si>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</si>
  <si>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</si>
  <si>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</si>
  <si>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</si>
  <si>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</si>
  <si>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</si>
  <si>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</si>
  <si>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</si>
  <si>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</si>
  <si>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</si>
  <si>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</si>
  <si>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</si>
  <si>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</si>
  <si>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</si>
  <si>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</si>
  <si>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</si>
  <si>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</si>
  <si>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</si>
  <si>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</si>
  <si>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</si>
  <si>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</si>
  <si>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</si>
  <si>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</si>
  <si>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</si>
  <si>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</si>
  <si>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</si>
  <si>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</si>
  <si>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</si>
  <si>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</si>
  <si>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</si>
  <si>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</si>
  <si>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</si>
  <si>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</si>
  <si>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</si>
  <si>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</si>
  <si>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</si>
  <si>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</si>
  <si>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</si>
  <si>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</si>
  <si>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</si>
  <si>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</si>
  <si>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</si>
  <si>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</si>
  <si>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</si>
  <si>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</si>
  <si>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</si>
  <si>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</si>
  <si>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</si>
  <si>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</si>
  <si>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</si>
  <si>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</si>
  <si>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</si>
  <si>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</si>
  <si>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</si>
  <si>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</si>
  <si>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</si>
  <si>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</si>
  <si>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</si>
  <si>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</si>
  <si>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</si>
  <si>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</si>
  <si>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</si>
  <si>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</si>
  <si>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</si>
  <si>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</si>
  <si>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</si>
  <si>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</si>
  <si>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</si>
  <si>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</si>
  <si>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</si>
  <si>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</si>
  <si>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</si>
  <si>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</si>
  <si>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</si>
  <si>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</si>
  <si>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</si>
  <si>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</si>
  <si>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</si>
  <si>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</si>
  <si>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</si>
  <si>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</si>
  <si>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</si>
  <si>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</si>
  <si>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</si>
  <si>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</si>
  <si>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</si>
  <si>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</si>
  <si>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</si>
  <si>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</si>
  <si>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</si>
  <si>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</si>
  <si>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</si>
  <si>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</si>
  <si>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</si>
  <si>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</si>
  <si>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</si>
  <si>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</si>
  <si>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</si>
  <si>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</si>
  <si>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</si>
  <si>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</si>
  <si>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</si>
  <si>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</si>
  <si>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</si>
  <si>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</si>
  <si>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</si>
  <si>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</si>
  <si>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</si>
  <si>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</si>
  <si>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</si>
  <si>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</si>
  <si>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</si>
  <si>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</si>
  <si>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</si>
  <si>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</si>
  <si>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</si>
  <si>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</si>
  <si>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</si>
  <si>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</si>
  <si>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</si>
  <si>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</si>
  <si>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</si>
  <si>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</si>
  <si>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</si>
  <si>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</si>
  <si>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</si>
  <si>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</si>
  <si>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</si>
  <si>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</si>
  <si>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</si>
  <si>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</si>
  <si>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</si>
  <si>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</si>
  <si>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</si>
  <si>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</si>
  <si>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</si>
  <si>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</si>
  <si>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</si>
  <si>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</si>
  <si>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</si>
  <si>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</si>
  <si>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</si>
  <si>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</si>
  <si>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</si>
  <si>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</si>
  <si>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</si>
  <si>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</si>
  <si>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</si>
  <si>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</si>
  <si>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</si>
  <si>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</si>
  <si>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</si>
  <si>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</si>
  <si>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</si>
  <si>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</si>
  <si>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</si>
  <si>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</si>
  <si>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</si>
  <si>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</si>
  <si>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</si>
  <si>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</si>
  <si>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</si>
  <si>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</si>
  <si>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</si>
  <si>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</si>
  <si>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</si>
  <si>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</si>
  <si>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</si>
  <si>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</si>
  <si>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</si>
  <si>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</si>
  <si>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</si>
  <si>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</si>
  <si>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</si>
  <si>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</si>
  <si>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</si>
  <si>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</si>
  <si>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</si>
  <si>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</si>
  <si>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</si>
  <si>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</si>
  <si>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</si>
  <si>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</si>
  <si>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</si>
  <si>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</si>
  <si>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</si>
  <si>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</si>
  <si>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</si>
  <si>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</si>
  <si>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</si>
  <si>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</si>
  <si>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</si>
  <si>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</si>
  <si>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</si>
  <si>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</si>
  <si>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</si>
  <si>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</si>
  <si>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</si>
  <si>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</si>
  <si>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</si>
  <si>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</si>
  <si>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</si>
  <si>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</si>
  <si>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</si>
  <si>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</si>
  <si>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</si>
  <si>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</si>
  <si>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</si>
  <si>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</si>
  <si>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</si>
  <si>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</si>
  <si>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</si>
  <si>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</si>
  <si>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</si>
  <si>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</si>
  <si>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</si>
  <si>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</si>
  <si>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</si>
  <si>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</si>
  <si>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</si>
  <si>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</si>
  <si>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</si>
  <si>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</si>
  <si>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</si>
  <si>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</si>
  <si>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</si>
  <si>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</si>
  <si>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</si>
  <si>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</si>
  <si>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</si>
  <si>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</si>
  <si>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</si>
  <si>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</si>
  <si>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</si>
  <si>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</si>
  <si>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</si>
  <si>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</si>
  <si>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</si>
  <si>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</si>
  <si>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</si>
  <si>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</si>
  <si>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</si>
  <si>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</si>
  <si>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</si>
  <si>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</si>
  <si>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</si>
  <si>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</si>
  <si>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</si>
  <si>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</si>
  <si>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</si>
  <si>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</si>
  <si>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</si>
  <si>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</si>
  <si>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</si>
  <si>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</si>
  <si>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</si>
  <si>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</si>
  <si>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</si>
  <si>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</si>
  <si>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</si>
  <si>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</si>
  <si>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</si>
  <si>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</si>
  <si>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</si>
  <si>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</si>
  <si>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</si>
  <si>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</si>
  <si>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</si>
  <si>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</si>
  <si>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</si>
  <si>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</si>
  <si>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</si>
  <si>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</si>
  <si>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</si>
  <si>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</si>
  <si>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</si>
  <si>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</si>
  <si>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</si>
  <si>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</si>
  <si>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</si>
  <si>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</si>
  <si>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</si>
  <si>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</si>
  <si>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</si>
  <si>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</si>
  <si>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</si>
  <si>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</si>
  <si>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</si>
  <si>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</si>
  <si>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</si>
  <si>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</si>
  <si>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</si>
  <si>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</si>
  <si>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</si>
  <si>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</si>
  <si>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</si>
  <si>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</si>
  <si>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</si>
  <si>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</si>
  <si>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</si>
  <si>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</si>
  <si>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</si>
  <si>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</si>
  <si>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</si>
  <si>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</si>
  <si>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</si>
  <si>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</si>
  <si>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</si>
  <si>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</si>
  <si>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</si>
  <si>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</si>
  <si>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</si>
  <si>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</si>
  <si>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</si>
  <si>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</si>
  <si>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</si>
  <si>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</si>
  <si>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</si>
  <si>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</si>
  <si>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</si>
  <si>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</si>
  <si>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</si>
  <si>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</si>
  <si>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</si>
  <si>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</si>
  <si>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</si>
  <si>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</si>
  <si>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</si>
  <si>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</si>
  <si>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</si>
  <si>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</si>
  <si>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</si>
  <si>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</si>
  <si>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</si>
  <si>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</si>
  <si>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</si>
  <si>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</si>
  <si>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</si>
  <si>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</si>
  <si>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</si>
  <si>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</si>
  <si>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</si>
  <si>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</si>
  <si>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</si>
  <si>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</si>
  <si>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</si>
  <si>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</si>
  <si>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</si>
  <si>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</si>
  <si>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</si>
  <si>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</si>
  <si>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</si>
  <si>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</si>
  <si>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</si>
  <si>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</si>
  <si>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</si>
  <si>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</si>
  <si>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</si>
  <si>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</si>
  <si>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</si>
  <si>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</si>
  <si>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</si>
  <si>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</si>
  <si>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</si>
  <si>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</si>
  <si>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</si>
  <si>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</si>
  <si>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</si>
  <si>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</si>
  <si>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</si>
  <si>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</si>
  <si>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</si>
  <si>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</si>
  <si>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</si>
  <si>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</si>
  <si>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</si>
  <si>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</si>
  <si>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</si>
  <si>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</si>
  <si>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</si>
  <si>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</si>
  <si>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</si>
  <si>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</si>
  <si>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</si>
  <si>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</si>
  <si>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</si>
  <si>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</si>
  <si>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</si>
  <si>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</si>
  <si>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</si>
  <si>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</si>
  <si>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</si>
  <si>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</si>
  <si>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</si>
  <si>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</si>
  <si>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</si>
  <si>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</si>
  <si>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</si>
  <si>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</si>
  <si>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</si>
  <si>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</si>
  <si>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</si>
  <si>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</si>
  <si>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</si>
  <si>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</si>
  <si>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</si>
  <si>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</si>
  <si>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</si>
  <si>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</si>
  <si>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</si>
  <si>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</si>
  <si>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</si>
  <si>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</si>
  <si>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</si>
  <si>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</si>
  <si>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</si>
  <si>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</si>
  <si>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</si>
  <si>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</si>
  <si>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</si>
  <si>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</si>
  <si>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</si>
  <si>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</si>
  <si>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</si>
  <si>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</si>
  <si>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</si>
  <si>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</si>
  <si>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</si>
  <si>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</si>
  <si>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</si>
  <si>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</si>
  <si>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</si>
  <si>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</si>
  <si>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</si>
  <si>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</si>
  <si>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</si>
  <si>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</si>
  <si>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</si>
  <si>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</si>
  <si>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</si>
  <si>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</si>
  <si>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</si>
  <si>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</si>
  <si>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</si>
  <si>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</si>
  <si>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</si>
  <si>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</si>
  <si>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</si>
  <si>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</si>
  <si>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</si>
  <si>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</si>
  <si>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</si>
  <si>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</si>
  <si>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</si>
  <si>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</si>
  <si>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</si>
  <si>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</si>
  <si>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</si>
  <si>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</si>
  <si>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</si>
  <si>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</si>
  <si>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</si>
  <si>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</si>
  <si>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</si>
  <si>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</si>
  <si>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</si>
  <si>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</si>
  <si>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</si>
  <si>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</si>
  <si>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</si>
  <si>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</si>
  <si>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</si>
  <si>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</si>
  <si>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</si>
  <si>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</si>
  <si>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</si>
  <si>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</si>
  <si>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</si>
  <si>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</si>
  <si>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</si>
  <si>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</si>
  <si>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</si>
  <si>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</si>
  <si>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</si>
  <si>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</si>
  <si>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</si>
  <si>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</si>
  <si>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</si>
  <si>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</si>
  <si>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</si>
  <si>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</si>
  <si>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</si>
  <si>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</si>
  <si>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</si>
  <si>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</si>
  <si>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</si>
  <si>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</si>
  <si>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</si>
  <si>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</si>
  <si>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</si>
  <si>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</si>
  <si>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</si>
  <si>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</si>
  <si>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</si>
  <si>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</si>
  <si>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</si>
  <si>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</si>
  <si>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</si>
  <si>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</si>
  <si>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</si>
  <si>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</si>
  <si>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</si>
  <si>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</si>
  <si>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</si>
  <si>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</si>
  <si>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</si>
  <si>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</si>
  <si>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</si>
  <si>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</si>
  <si>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</si>
  <si>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</si>
  <si>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</si>
  <si>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</si>
  <si>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</si>
  <si>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</si>
  <si>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</si>
  <si>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</si>
  <si>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</si>
  <si>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</si>
  <si>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</si>
  <si>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</si>
  <si>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</si>
  <si>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</si>
  <si>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</si>
  <si>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</si>
  <si>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</si>
  <si>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</si>
  <si>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</si>
  <si>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</si>
  <si>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</si>
  <si>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</si>
  <si>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</si>
  <si>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</si>
  <si>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</si>
  <si>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</si>
  <si>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</si>
  <si>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</si>
  <si>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</si>
  <si>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</si>
  <si>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</si>
  <si>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</si>
  <si>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</si>
  <si>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</si>
  <si>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</si>
  <si>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</si>
  <si>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</si>
  <si>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</si>
  <si>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</si>
  <si>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</si>
  <si>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</si>
  <si>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</si>
  <si>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</si>
  <si>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</si>
  <si>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</si>
  <si>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</si>
  <si>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</si>
  <si>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</si>
  <si>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</si>
  <si>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</si>
  <si>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</si>
  <si>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</si>
  <si>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</si>
  <si>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</si>
  <si>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</si>
  <si>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</si>
  <si>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</si>
  <si>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</si>
  <si>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</si>
  <si>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</si>
  <si>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</si>
  <si>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</si>
  <si>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</si>
  <si>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</si>
  <si>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</si>
  <si>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</si>
  <si>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</si>
  <si>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</si>
  <si>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</si>
  <si>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</si>
  <si>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</si>
  <si>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</si>
  <si>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</si>
  <si>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</si>
  <si>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</si>
  <si>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</si>
  <si>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</si>
  <si>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</si>
  <si>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</si>
  <si>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</si>
  <si>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</si>
  <si>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</si>
  <si>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</si>
  <si>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</si>
  <si>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</si>
  <si>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</si>
  <si>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</si>
  <si>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</si>
  <si>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</si>
  <si>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</si>
  <si>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</si>
  <si>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</si>
  <si>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</si>
  <si>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</si>
  <si>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</si>
  <si>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</si>
  <si>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</si>
  <si>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</si>
  <si>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</si>
  <si>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</si>
  <si>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</si>
  <si>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</si>
  <si>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</si>
  <si>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</si>
  <si>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</si>
  <si>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</si>
  <si>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</si>
  <si>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</si>
  <si>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</si>
  <si>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</si>
  <si>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</si>
  <si>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</si>
  <si>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</si>
  <si>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</si>
  <si>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</si>
  <si>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</si>
  <si>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</si>
  <si>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</si>
  <si>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</si>
  <si>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</si>
  <si>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</si>
  <si>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</si>
  <si>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</si>
  <si>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</si>
  <si>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</si>
  <si>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</si>
  <si>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</si>
  <si>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</si>
  <si>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</si>
  <si>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</si>
  <si>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</si>
  <si>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</si>
  <si>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</si>
  <si>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</si>
  <si>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</si>
  <si>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</si>
  <si>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</si>
  <si>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</si>
  <si>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</si>
  <si>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</si>
  <si>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</si>
  <si>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</si>
  <si>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</si>
  <si>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</si>
  <si>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</si>
  <si>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</si>
  <si>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</si>
  <si>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</si>
  <si>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</si>
  <si>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</si>
  <si>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</si>
  <si>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</si>
  <si>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</si>
  <si>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</si>
  <si>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</si>
  <si>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</si>
  <si>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</si>
  <si>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</si>
  <si>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</si>
  <si>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</si>
  <si>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</si>
  <si>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</si>
  <si>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</si>
  <si>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</si>
  <si>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</si>
  <si>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</si>
  <si>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</si>
  <si>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</si>
  <si>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</si>
  <si>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</si>
  <si>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</si>
  <si>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</si>
  <si>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</si>
  <si>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</si>
  <si>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</si>
  <si>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</si>
  <si>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</si>
  <si>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</si>
  <si>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</si>
  <si>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</si>
  <si>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</si>
  <si>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</si>
  <si>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</si>
  <si>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</si>
  <si>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</si>
  <si>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</si>
  <si>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</si>
  <si>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</si>
  <si>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</si>
  <si>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</si>
  <si>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</si>
  <si>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</si>
  <si>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</si>
  <si>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</si>
  <si>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</si>
  <si>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</si>
  <si>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</si>
  <si>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</si>
  <si>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</si>
  <si>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</si>
  <si>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</si>
  <si>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</si>
  <si>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</si>
  <si>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</si>
  <si>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</si>
  <si>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</si>
  <si>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</si>
  <si>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</si>
  <si>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</si>
  <si>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</si>
  <si>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</si>
  <si>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</si>
  <si>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</si>
  <si>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</si>
  <si>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</si>
  <si>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</si>
  <si>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</si>
  <si>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</si>
  <si>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</si>
  <si>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</si>
  <si>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</si>
  <si>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</si>
  <si>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</si>
  <si>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</si>
  <si>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</si>
  <si>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</si>
  <si>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</si>
  <si>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</si>
  <si>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</si>
  <si>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</si>
  <si>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</si>
  <si>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</si>
  <si>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</si>
  <si>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</si>
  <si>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</si>
  <si>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</si>
  <si>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</si>
  <si>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</si>
  <si>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</si>
  <si>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</si>
  <si>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</si>
  <si>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</si>
  <si>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</si>
  <si>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</si>
  <si>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</si>
  <si>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</si>
  <si>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</si>
  <si>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</si>
  <si>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</si>
  <si>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</si>
  <si>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</si>
  <si>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</si>
  <si>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</si>
  <si>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</si>
  <si>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</si>
  <si>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</si>
  <si>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</si>
  <si>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</si>
  <si>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</si>
  <si>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</si>
  <si>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</si>
  <si>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</si>
  <si>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</si>
  <si>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</si>
  <si>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</si>
  <si>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</si>
  <si>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</si>
  <si>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</si>
  <si>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</si>
  <si>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</si>
  <si>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</si>
  <si>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</si>
  <si>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</si>
  <si>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</si>
  <si>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</si>
  <si>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</si>
  <si>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</si>
  <si>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</si>
  <si>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</si>
  <si>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</si>
  <si>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</si>
  <si>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</si>
  <si>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</si>
  <si>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</si>
  <si>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</si>
  <si>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</si>
  <si>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</si>
  <si>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</si>
  <si>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</si>
  <si>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</si>
  <si>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</si>
  <si>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</si>
  <si>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</si>
  <si>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</si>
  <si>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</si>
  <si>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</si>
  <si>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</si>
  <si>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</si>
  <si>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</si>
  <si>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</si>
  <si>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</si>
  <si>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</si>
  <si>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</si>
  <si>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</si>
  <si>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</si>
  <si>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</si>
  <si>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</si>
  <si>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</si>
  <si>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</si>
  <si>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</si>
  <si>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</si>
  <si>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</si>
  <si>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</si>
  <si>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</si>
  <si>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</si>
  <si>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</si>
  <si>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</si>
  <si>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</si>
  <si>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</si>
  <si>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</si>
  <si>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</si>
  <si>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</si>
  <si>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</si>
  <si>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</si>
  <si>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</si>
  <si>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</si>
  <si>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</si>
  <si>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</si>
  <si>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</si>
  <si>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</si>
  <si>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</si>
  <si>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</si>
  <si>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</si>
  <si>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</si>
  <si>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</si>
  <si>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</si>
  <si>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</si>
  <si>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</si>
  <si>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</si>
  <si>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</si>
  <si>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</si>
  <si>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</si>
  <si>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</si>
  <si>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</si>
  <si>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</si>
  <si>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</si>
  <si>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</si>
  <si>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</si>
  <si>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</si>
  <si>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</si>
  <si>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</si>
  <si>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</si>
  <si>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</si>
  <si>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</si>
  <si>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</si>
  <si>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</si>
  <si>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</si>
  <si>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</si>
  <si>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</si>
  <si>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</si>
  <si>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</si>
  <si>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</si>
  <si>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</si>
  <si>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</si>
  <si>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</si>
  <si>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</si>
  <si>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</si>
  <si>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</si>
  <si>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</si>
  <si>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</si>
  <si>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</si>
  <si>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</si>
  <si>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</si>
  <si>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</si>
  <si>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</si>
  <si>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</si>
  <si>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</si>
  <si>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</si>
  <si>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</si>
  <si>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</si>
  <si>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</si>
  <si>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</si>
  <si>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</si>
  <si>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</si>
  <si>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</si>
  <si>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</si>
  <si>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</si>
  <si>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</si>
  <si>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</si>
  <si>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</si>
  <si>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</si>
  <si>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</si>
  <si>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</si>
  <si>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</si>
  <si>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</si>
  <si>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</si>
  <si>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</si>
  <si>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</si>
  <si>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</si>
  <si>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</si>
  <si>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</si>
  <si>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</si>
  <si>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</si>
  <si>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</si>
  <si>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</si>
  <si>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</si>
  <si>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</si>
  <si>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</si>
  <si>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</si>
  <si>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</si>
  <si>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</si>
  <si>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</si>
  <si>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</si>
  <si>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</si>
  <si>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</si>
  <si>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</si>
  <si>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</si>
  <si>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</si>
  <si>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</si>
  <si>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</si>
  <si>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</si>
  <si>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</si>
  <si>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</si>
  <si>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</si>
  <si>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</si>
  <si>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</si>
  <si>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</si>
  <si>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</si>
  <si>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</si>
  <si>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</si>
  <si>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</si>
  <si>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</si>
  <si>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</si>
  <si>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</si>
  <si>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</si>
  <si>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</si>
  <si>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</si>
  <si>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</si>
  <si>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</si>
  <si>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</si>
  <si>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</si>
  <si>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</si>
  <si>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</si>
  <si>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</si>
  <si>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</si>
  <si>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</si>
  <si>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</si>
  <si>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</si>
  <si>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</si>
  <si>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</si>
  <si>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</si>
  <si>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</si>
  <si>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</si>
  <si>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</si>
  <si>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</si>
  <si>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</si>
  <si>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</si>
  <si>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</si>
  <si>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</si>
  <si>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</si>
  <si>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</si>
  <si>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</si>
  <si>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</si>
  <si>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</si>
  <si>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</si>
  <si>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</si>
  <si>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</si>
  <si>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</si>
  <si>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</si>
  <si>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</si>
  <si>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</si>
  <si>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</si>
  <si>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</si>
  <si>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</si>
  <si>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</si>
  <si>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</si>
  <si>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</si>
  <si>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</si>
  <si>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</si>
  <si>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</si>
  <si>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</si>
  <si>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</si>
  <si>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</si>
  <si>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</si>
  <si>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</si>
  <si>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</si>
  <si>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</si>
  <si>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</si>
  <si>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</si>
  <si>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</si>
  <si>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</si>
  <si>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</si>
  <si>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</si>
  <si>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</si>
  <si>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</si>
  <si>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</si>
  <si>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</si>
  <si>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</si>
  <si>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</si>
  <si>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</si>
  <si>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</si>
  <si>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</si>
  <si>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</si>
  <si>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</si>
  <si>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</si>
  <si>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</si>
  <si>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</si>
  <si>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</si>
  <si>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</si>
  <si>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</si>
  <si>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</si>
  <si>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</si>
  <si>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</si>
  <si>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</si>
  <si>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</si>
  <si>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</si>
  <si>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</si>
  <si>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</si>
  <si>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</si>
  <si>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</si>
  <si>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</si>
  <si>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</si>
  <si>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</si>
  <si>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</si>
  <si>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</si>
  <si>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</si>
  <si>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</si>
  <si>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</si>
  <si>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</si>
  <si>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</si>
  <si>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</si>
  <si>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</si>
  <si>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</si>
  <si>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</si>
  <si>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</si>
  <si>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</si>
  <si>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</si>
  <si>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</si>
  <si>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</si>
  <si>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</si>
  <si>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</si>
  <si>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</si>
  <si>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</si>
  <si>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</si>
  <si>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</si>
  <si>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</si>
  <si>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</si>
  <si>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</si>
  <si>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</si>
  <si>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</si>
  <si>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</si>
  <si>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</si>
  <si>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</si>
  <si>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</si>
  <si>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</si>
  <si>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</si>
  <si>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</si>
  <si>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</si>
  <si>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</si>
  <si>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</si>
  <si>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</si>
  <si>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</si>
  <si>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</si>
  <si>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</si>
  <si>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</si>
  <si>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</si>
  <si>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</si>
  <si>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</si>
  <si>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</si>
  <si>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</si>
  <si>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</si>
  <si>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</si>
  <si>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</si>
  <si>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</si>
  <si>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</si>
  <si>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</si>
  <si>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</si>
  <si>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</si>
  <si>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</si>
  <si>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</si>
  <si>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</si>
  <si>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</si>
  <si>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</si>
  <si>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</si>
  <si>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</si>
  <si>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</si>
  <si>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</si>
  <si>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</si>
  <si>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</si>
  <si>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</si>
  <si>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</si>
  <si>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</si>
  <si>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</si>
  <si>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</si>
  <si>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</si>
  <si>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</si>
  <si>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</si>
  <si>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</si>
  <si>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</si>
  <si>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</si>
  <si>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</si>
  <si>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</si>
  <si>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</si>
  <si>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</si>
  <si>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</si>
  <si>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</si>
  <si>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</si>
  <si>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</si>
  <si>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</si>
  <si>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</si>
  <si>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</si>
  <si>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</si>
  <si>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</si>
  <si>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</si>
  <si>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</si>
  <si>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</si>
  <si>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</si>
  <si>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</si>
  <si>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</si>
  <si>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</si>
  <si>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</si>
  <si>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</si>
  <si>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</si>
  <si>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</si>
  <si>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</si>
  <si>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</si>
  <si>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</si>
  <si>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</si>
  <si>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</si>
  <si>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</si>
  <si>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</si>
  <si>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</si>
  <si>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</si>
  <si>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</si>
  <si>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</si>
  <si>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</si>
  <si>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</si>
  <si>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</si>
  <si>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</si>
  <si>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</si>
  <si>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</si>
  <si>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</si>
  <si>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</si>
  <si>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</si>
  <si>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</si>
  <si>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</si>
  <si>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</si>
  <si>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</si>
  <si>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</si>
  <si>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</si>
  <si>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</si>
  <si>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</si>
  <si>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</si>
  <si>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</si>
  <si>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</si>
  <si>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</si>
  <si>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</si>
  <si>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</si>
  <si>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</si>
  <si>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</si>
  <si>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</si>
  <si>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</si>
  <si>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</si>
  <si>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</si>
  <si>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</si>
  <si>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</si>
  <si>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</si>
  <si>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</si>
  <si>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</si>
  <si>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</si>
  <si>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</si>
  <si>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</si>
  <si>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</si>
  <si>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</si>
  <si>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</si>
  <si>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</si>
  <si>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</si>
  <si>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</si>
  <si>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</si>
  <si>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</si>
  <si>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</si>
  <si>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</si>
  <si>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</si>
  <si>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</si>
  <si>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</si>
  <si>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</si>
  <si>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</si>
  <si>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</si>
  <si>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</si>
  <si>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</si>
  <si>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</si>
  <si>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</si>
  <si>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</si>
  <si>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</si>
  <si>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</si>
  <si>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</si>
  <si>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</si>
  <si>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</si>
  <si>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</si>
  <si>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</si>
  <si>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</si>
  <si>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</si>
  <si>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</si>
  <si>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</si>
  <si>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</si>
  <si>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</si>
  <si>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</si>
  <si>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</si>
  <si>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</si>
  <si>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</si>
  <si>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</si>
  <si>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</si>
  <si>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</si>
  <si>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</si>
  <si>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</si>
  <si>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</si>
  <si>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</si>
  <si>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</si>
  <si>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</si>
  <si>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</si>
  <si>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</si>
  <si>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</si>
  <si>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</si>
  <si>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</si>
  <si>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</si>
  <si>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</si>
  <si>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</si>
  <si>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</si>
  <si>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</si>
  <si>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</si>
  <si>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</si>
  <si>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</si>
  <si>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</si>
  <si>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</si>
  <si>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</si>
  <si>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</si>
  <si>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</si>
  <si>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</si>
  <si>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</si>
  <si>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</si>
  <si>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</si>
  <si>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</si>
  <si>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</si>
  <si>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</si>
  <si>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</si>
  <si>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</si>
  <si>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</si>
  <si>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</si>
  <si>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</si>
  <si>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</si>
  <si>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</si>
  <si>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</si>
  <si>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</si>
  <si>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</si>
  <si>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</si>
  <si>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</si>
  <si>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</si>
  <si>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</si>
  <si>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</si>
  <si>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</si>
  <si>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</si>
  <si>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</si>
  <si>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</si>
  <si>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</si>
  <si>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</si>
  <si>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</si>
  <si>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</si>
  <si>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</si>
  <si>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</si>
  <si>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</si>
  <si>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</si>
  <si>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</si>
  <si>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</si>
  <si>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</si>
  <si>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</si>
  <si>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</si>
  <si>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</si>
  <si>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</si>
  <si>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</si>
  <si>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</si>
  <si>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</si>
  <si>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</si>
  <si>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</si>
  <si>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</si>
  <si>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</si>
  <si>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</si>
  <si>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</si>
  <si>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</si>
  <si>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</si>
  <si>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</si>
  <si>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</si>
  <si>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</si>
  <si>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</si>
  <si>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</si>
  <si>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</si>
  <si>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</si>
  <si>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</si>
  <si>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</si>
  <si>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</si>
  <si>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</si>
  <si>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</si>
  <si>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</si>
  <si>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</si>
  <si>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</si>
  <si>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</si>
  <si>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</si>
  <si>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</si>
  <si>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</si>
  <si>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</si>
  <si>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</si>
  <si>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</si>
  <si>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</si>
  <si>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</si>
  <si>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</si>
  <si>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</si>
  <si>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</si>
  <si>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</si>
  <si>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</si>
  <si>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</si>
  <si>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</si>
  <si>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</si>
  <si>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</si>
  <si>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</si>
  <si>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</si>
  <si>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</si>
  <si>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</si>
  <si>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</si>
  <si>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</si>
  <si>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</si>
  <si>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</si>
  <si>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</si>
  <si>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</si>
  <si>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</si>
  <si>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</si>
  <si>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</si>
  <si>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</si>
  <si>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</si>
  <si>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</si>
  <si>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</si>
  <si>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</si>
  <si>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</si>
  <si>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</si>
  <si>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</si>
  <si>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</si>
  <si>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</si>
  <si>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</si>
  <si>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</si>
  <si>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</si>
  <si>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</si>
  <si>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</si>
  <si>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</si>
  <si>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</si>
  <si>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</si>
  <si>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</si>
  <si>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</si>
  <si>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</si>
  <si>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</si>
  <si>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</si>
  <si>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</si>
  <si>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</si>
  <si>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</si>
  <si>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</si>
  <si>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</si>
  <si>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</si>
  <si>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</si>
  <si>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</si>
  <si>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</si>
  <si>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</si>
  <si>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</si>
  <si>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</si>
  <si>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</si>
  <si>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</si>
  <si>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</si>
  <si>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</si>
  <si>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</si>
  <si>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</si>
  <si>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</si>
  <si>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</si>
  <si>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</si>
  <si>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</si>
  <si>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</si>
  <si>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</si>
  <si>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</si>
  <si>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</si>
  <si>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</si>
  <si>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</si>
  <si>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</si>
  <si>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</si>
  <si>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</si>
  <si>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</si>
  <si>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</si>
  <si>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</si>
  <si>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</si>
  <si>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</si>
  <si>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</si>
  <si>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</si>
  <si>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</si>
  <si>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</si>
  <si>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</si>
  <si>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</si>
  <si>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</si>
  <si>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</si>
  <si>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</si>
  <si>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</si>
  <si>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</si>
  <si>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</si>
  <si>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</si>
  <si>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</si>
  <si>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</si>
  <si>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</si>
  <si>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</si>
  <si>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</si>
  <si>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</si>
  <si>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</si>
  <si>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</si>
  <si>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</si>
  <si>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</si>
  <si>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</si>
  <si>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</si>
  <si>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</si>
  <si>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</si>
  <si>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</si>
  <si>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</si>
  <si>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</si>
  <si>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</si>
  <si>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</si>
  <si>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</si>
  <si>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</si>
  <si>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</si>
  <si>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</si>
  <si>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</si>
  <si>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</si>
  <si>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</si>
  <si>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</si>
  <si>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</si>
  <si>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</si>
  <si>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</si>
  <si>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</si>
  <si>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</si>
  <si>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</si>
  <si>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</si>
  <si>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</si>
  <si>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</si>
  <si>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</si>
  <si>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</si>
  <si>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</si>
  <si>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</si>
  <si>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</si>
  <si>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</si>
  <si>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</si>
  <si>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</si>
  <si>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</si>
  <si>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</si>
  <si>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</si>
  <si>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</si>
  <si>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</si>
  <si>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</si>
  <si>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</si>
  <si>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</si>
  <si>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</si>
  <si>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</si>
  <si>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</si>
  <si>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</si>
  <si>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</si>
  <si>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</si>
  <si>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</si>
  <si>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</si>
  <si>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</si>
  <si>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</si>
  <si>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</si>
  <si>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</si>
  <si>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</si>
  <si>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</si>
  <si>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</si>
  <si>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</si>
  <si>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</si>
  <si>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</si>
  <si>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</si>
  <si>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</si>
  <si>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</si>
  <si>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</si>
  <si>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</si>
  <si>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</si>
  <si>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</si>
  <si>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</si>
  <si>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</si>
  <si>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</si>
  <si>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</si>
  <si>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</si>
  <si>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</si>
  <si>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</si>
  <si>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</si>
  <si>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</si>
  <si>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</si>
  <si>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</si>
  <si>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</si>
  <si>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</si>
  <si>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</si>
  <si>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</si>
  <si>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</si>
  <si>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</si>
  <si>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</si>
  <si>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</si>
  <si>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</si>
  <si>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</si>
  <si>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</si>
  <si>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</si>
  <si>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</si>
  <si>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</si>
  <si>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</si>
  <si>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</si>
  <si>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</si>
  <si>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</si>
  <si>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</si>
  <si>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</si>
  <si>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</si>
  <si>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</si>
  <si>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</si>
  <si>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</si>
  <si>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</si>
  <si>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</si>
  <si>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</si>
  <si>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</si>
  <si>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</si>
  <si>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</si>
  <si>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</si>
  <si>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</si>
  <si>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</si>
  <si>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</si>
  <si>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</si>
  <si>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</si>
  <si>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</si>
  <si>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</si>
  <si>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</si>
  <si>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</si>
  <si>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</si>
  <si>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</si>
  <si>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</si>
  <si>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</si>
  <si>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</si>
  <si>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</si>
  <si>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</si>
  <si>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</si>
  <si>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</si>
  <si>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</si>
  <si>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</si>
  <si>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</si>
  <si>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</si>
  <si>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</si>
  <si>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</si>
  <si>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</si>
  <si>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</si>
  <si>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</si>
  <si>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</si>
  <si>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</si>
  <si>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</si>
  <si>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</si>
  <si>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</si>
  <si>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</si>
  <si>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</si>
  <si>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</si>
  <si>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</si>
  <si>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</si>
  <si>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</si>
  <si>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</si>
  <si>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</si>
  <si>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</si>
  <si>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</si>
  <si>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</si>
  <si>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</si>
  <si>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</si>
  <si>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</si>
  <si>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</si>
  <si>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</si>
  <si>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</si>
  <si>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</si>
  <si>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</si>
  <si>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</si>
  <si>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</si>
  <si>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</si>
  <si>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</si>
  <si>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</si>
  <si>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</si>
  <si>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</si>
  <si>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</si>
  <si>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</si>
  <si>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</si>
  <si>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</si>
  <si>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</si>
  <si>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</si>
  <si>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</si>
  <si>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</si>
  <si>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</si>
  <si>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</si>
  <si>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</si>
  <si>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</si>
  <si>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</si>
  <si>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</si>
  <si>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</si>
  <si>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</si>
  <si>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</si>
  <si>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</si>
  <si>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</si>
  <si>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</si>
  <si>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</si>
  <si>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</si>
  <si>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</si>
  <si>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</si>
  <si>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</si>
  <si>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</si>
  <si>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</si>
  <si>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</si>
  <si>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</si>
  <si>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</si>
  <si>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</si>
  <si>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</si>
  <si>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</si>
  <si>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</si>
  <si>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</si>
  <si>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</si>
  <si>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</si>
  <si>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</si>
  <si>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</si>
  <si>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</si>
  <si>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</si>
  <si>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</si>
  <si>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</si>
  <si>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</si>
  <si>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</si>
  <si>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</si>
  <si>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</si>
  <si>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</si>
  <si>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</si>
  <si>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</si>
  <si>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</si>
  <si>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</si>
  <si>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</si>
  <si>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</si>
  <si>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</si>
  <si>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</si>
  <si>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</si>
  <si>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</si>
  <si>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</si>
  <si>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</si>
  <si>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</si>
  <si>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</si>
  <si>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</si>
  <si>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</si>
  <si>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</si>
  <si>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</si>
  <si>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</si>
  <si>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</si>
  <si>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</si>
  <si>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</si>
  <si>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</si>
  <si>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</si>
  <si>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</si>
  <si>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</si>
  <si>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</si>
  <si>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</si>
  <si>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</si>
  <si>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</si>
  <si>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</si>
  <si>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</si>
  <si>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</si>
  <si>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</si>
  <si>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</si>
  <si>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</si>
  <si>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</si>
  <si>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</si>
  <si>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</si>
  <si>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</si>
  <si>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</si>
  <si>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</si>
  <si>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</si>
  <si>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</si>
  <si>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</si>
  <si>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</si>
  <si>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</si>
  <si>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</si>
  <si>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</si>
  <si>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</si>
  <si>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</si>
  <si>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</si>
  <si>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</si>
  <si>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</si>
  <si>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</si>
  <si>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</si>
  <si>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</si>
  <si>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</si>
  <si>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</si>
  <si>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</si>
  <si>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</si>
  <si>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</si>
  <si>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</si>
  <si>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</si>
  <si>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</si>
  <si>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</si>
  <si>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</si>
  <si>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</si>
  <si>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</si>
  <si>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</si>
  <si>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</si>
  <si>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</si>
  <si>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</si>
  <si>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</si>
  <si>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</si>
  <si>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</si>
  <si>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</si>
  <si>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</si>
  <si>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</si>
  <si>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</si>
  <si>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</si>
  <si>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</si>
  <si>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</si>
  <si>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</si>
  <si>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</si>
  <si>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</si>
  <si>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</si>
  <si>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</si>
  <si>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</si>
  <si>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</si>
  <si>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</si>
  <si>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</si>
  <si>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</si>
  <si>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</si>
  <si>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</si>
  <si>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</si>
  <si>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</si>
  <si>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</si>
  <si>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</si>
  <si>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</si>
  <si>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</si>
  <si>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</si>
  <si>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</si>
  <si>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</si>
  <si>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</si>
  <si>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</si>
  <si>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</si>
  <si>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</si>
  <si>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</si>
  <si>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</si>
  <si>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</si>
  <si>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</si>
  <si>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</si>
  <si>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</si>
  <si>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</si>
  <si>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</si>
  <si>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</si>
  <si>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</si>
  <si>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</si>
  <si>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</si>
  <si>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</si>
  <si>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</si>
  <si>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</si>
  <si>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</si>
  <si>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</si>
  <si>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</si>
  <si>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</si>
  <si>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</si>
  <si>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</si>
  <si>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</si>
  <si>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</si>
  <si>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</si>
  <si>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</si>
  <si>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</si>
  <si>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</si>
  <si>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</si>
  <si>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</si>
  <si>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</si>
  <si>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</si>
  <si>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</si>
  <si>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</si>
  <si>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</si>
  <si>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</si>
  <si>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</si>
  <si>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</si>
  <si>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</si>
  <si>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</si>
  <si>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</si>
  <si>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</si>
  <si>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</si>
  <si>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</si>
  <si>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</si>
  <si>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</si>
  <si>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</si>
  <si>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</si>
  <si>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</si>
  <si>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</si>
  <si>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</si>
  <si>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</si>
  <si>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</si>
  <si>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</si>
  <si>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</si>
  <si>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</si>
  <si>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</si>
  <si>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</si>
  <si>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</si>
  <si>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</si>
  <si>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</si>
  <si>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</si>
  <si>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</si>
  <si>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</si>
  <si>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</si>
  <si>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</si>
  <si>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</si>
  <si>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</si>
  <si>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</si>
  <si>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</si>
  <si>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</si>
  <si>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</si>
  <si>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</si>
  <si>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</si>
  <si>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</si>
  <si>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</si>
  <si>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</si>
  <si>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</si>
  <si>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</si>
  <si>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</si>
  <si>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</si>
  <si>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</si>
  <si>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</si>
  <si>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</si>
  <si>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</si>
  <si>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</si>
  <si>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</si>
  <si>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</si>
  <si>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</si>
  <si>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</si>
  <si>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</si>
  <si>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</si>
  <si>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</si>
  <si>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</si>
  <si>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</si>
  <si>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</si>
  <si>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</si>
  <si>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</si>
  <si>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</si>
  <si>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</si>
  <si>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</si>
  <si>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</si>
  <si>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</si>
  <si>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</si>
  <si>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</si>
  <si>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</si>
  <si>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</si>
  <si>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</si>
  <si>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</si>
  <si>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</si>
  <si>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</si>
  <si>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</si>
  <si>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</si>
  <si>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</si>
  <si>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</si>
  <si>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</si>
  <si>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</si>
  <si>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</si>
  <si>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</si>
  <si>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</si>
  <si>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</si>
  <si>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</si>
  <si>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</si>
  <si>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</si>
  <si>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</si>
  <si>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</si>
  <si>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</si>
  <si>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</si>
  <si>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</si>
  <si>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</si>
  <si>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</si>
  <si>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</si>
  <si>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</si>
  <si>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</si>
  <si>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</si>
  <si>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</si>
  <si>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</si>
  <si>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</si>
  <si>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</si>
  <si>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</si>
  <si>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</si>
  <si>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</si>
  <si>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</si>
  <si>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</si>
  <si>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</si>
  <si>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</si>
  <si>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</si>
  <si>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</si>
  <si>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</si>
  <si>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</si>
  <si>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</si>
  <si>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</si>
  <si>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</si>
  <si>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</si>
  <si>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</si>
  <si>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</si>
  <si>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</si>
  <si>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</si>
  <si>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</si>
  <si>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</si>
  <si>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</si>
  <si>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</si>
  <si>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</si>
  <si>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</si>
  <si>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</si>
  <si>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</si>
  <si>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</si>
  <si>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</si>
  <si>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</si>
  <si>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</si>
  <si>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</si>
  <si>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</si>
  <si>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</si>
  <si>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</si>
  <si>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</si>
  <si>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</si>
  <si>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</si>
  <si>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</si>
  <si>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</si>
  <si>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</si>
  <si>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</si>
  <si>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</si>
  <si>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</si>
  <si>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</si>
  <si>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</si>
  <si>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</si>
  <si>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</si>
  <si>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</si>
  <si>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</si>
  <si>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</si>
  <si>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</si>
  <si>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</si>
  <si>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</si>
  <si>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</si>
  <si>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</si>
  <si>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</si>
  <si>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</si>
  <si>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</si>
  <si>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</si>
  <si>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</si>
  <si>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</si>
  <si>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</si>
  <si>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</si>
  <si>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</si>
  <si>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</si>
  <si>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</si>
  <si>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</si>
  <si>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</si>
  <si>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</si>
  <si>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</si>
  <si>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</si>
  <si>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</si>
  <si>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</si>
  <si>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</si>
  <si>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</si>
  <si>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</si>
  <si>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</si>
  <si>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</si>
  <si>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</si>
  <si>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</si>
  <si>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</si>
  <si>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</si>
  <si>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</si>
  <si>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</si>
  <si>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</si>
  <si>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</si>
  <si>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</si>
  <si>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</si>
  <si>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</si>
  <si>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</si>
  <si>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</si>
  <si>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</si>
  <si>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</si>
  <si>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</si>
  <si>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</si>
  <si>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</si>
  <si>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</si>
  <si>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</si>
  <si>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</si>
  <si>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</si>
  <si>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</si>
  <si>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</si>
  <si>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</si>
  <si>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</si>
  <si>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</si>
  <si>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</si>
  <si>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</si>
  <si>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</si>
  <si>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</si>
  <si>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</si>
  <si>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</si>
  <si>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</si>
  <si>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</si>
  <si>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</si>
  <si>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</si>
  <si>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</si>
  <si>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</si>
  <si>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</si>
  <si>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</si>
  <si>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</si>
  <si>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</si>
  <si>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</si>
  <si>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</si>
  <si>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</si>
  <si>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</si>
  <si>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</si>
  <si>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</si>
  <si>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</si>
  <si>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</si>
  <si>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</si>
  <si>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</si>
  <si>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</si>
  <si>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</si>
  <si>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</si>
  <si>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</si>
  <si>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</si>
  <si>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</si>
  <si>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</si>
  <si>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</si>
  <si>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</si>
  <si>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</si>
  <si>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</si>
  <si>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</si>
  <si>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</si>
  <si>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</si>
  <si>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</si>
  <si>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</si>
  <si>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</si>
  <si>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</si>
  <si>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</si>
  <si>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</si>
  <si>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</si>
  <si>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</si>
  <si>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</si>
  <si>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</si>
  <si>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</si>
  <si>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</si>
  <si>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</si>
  <si>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</si>
  <si>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</si>
  <si>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</si>
  <si>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</si>
  <si>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</si>
  <si>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</si>
  <si>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</si>
  <si>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</si>
  <si>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</si>
  <si>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</si>
  <si>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</si>
  <si>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</si>
  <si>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</si>
  <si>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</si>
  <si>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</si>
  <si>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</si>
  <si>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</si>
  <si>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</si>
  <si>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</si>
  <si>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</si>
  <si>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</si>
  <si>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</si>
  <si>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</si>
  <si>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</si>
  <si>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</si>
  <si>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</si>
  <si>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</si>
  <si>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</si>
  <si>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</si>
  <si>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</si>
  <si>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</si>
  <si>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</si>
  <si>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</si>
  <si>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</si>
  <si>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</si>
  <si>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</si>
  <si>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</si>
  <si>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</si>
  <si>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</si>
  <si>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</si>
  <si>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</si>
  <si>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</si>
  <si>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</si>
  <si>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</si>
  <si>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</si>
  <si>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</si>
  <si>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</si>
  <si>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</si>
  <si>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</si>
  <si>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</si>
  <si>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</si>
  <si>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</si>
  <si>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</si>
  <si>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</si>
  <si>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</si>
  <si>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</si>
  <si>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</si>
  <si>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</si>
  <si>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</si>
  <si>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</si>
  <si>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</si>
  <si>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</si>
  <si>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</si>
  <si>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</si>
  <si>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</si>
  <si>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</si>
  <si>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</si>
  <si>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</si>
  <si>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</si>
  <si>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</si>
  <si>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</si>
  <si>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</si>
  <si>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</si>
  <si>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</si>
  <si>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</si>
  <si>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</si>
  <si>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</si>
  <si>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</si>
  <si>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</si>
  <si>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</si>
  <si>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</si>
  <si>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</si>
  <si>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</si>
  <si>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</si>
  <si>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</si>
  <si>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</si>
  <si>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</si>
  <si>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</si>
  <si>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</si>
  <si>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</si>
  <si>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</si>
  <si>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</si>
  <si>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</si>
  <si>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</si>
  <si>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</si>
  <si>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</si>
  <si>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</si>
  <si>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</si>
  <si>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</si>
  <si>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</si>
  <si>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</si>
  <si>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</si>
  <si>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</si>
  <si>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</si>
  <si>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</si>
  <si>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</si>
  <si>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</si>
  <si>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</si>
  <si>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</si>
  <si>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</si>
  <si>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</si>
  <si>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</si>
  <si>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</si>
  <si>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</si>
  <si>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</si>
  <si>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</si>
  <si>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</si>
  <si>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</si>
  <si>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</si>
  <si>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</si>
  <si>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</si>
  <si>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</si>
  <si>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</si>
  <si>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</si>
  <si>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</si>
  <si>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</si>
  <si>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</si>
  <si>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</si>
  <si>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</si>
  <si>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</si>
  <si>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</si>
  <si>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</si>
  <si>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</si>
  <si>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</si>
  <si>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</si>
  <si>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</si>
  <si>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</si>
  <si>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</si>
  <si>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</si>
  <si>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</si>
  <si>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</si>
  <si>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</si>
  <si>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</si>
  <si>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</si>
  <si>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</si>
  <si>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</si>
  <si>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</si>
  <si>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</si>
  <si>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</si>
  <si>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</si>
  <si>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</si>
  <si>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</si>
  <si>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</si>
  <si>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</si>
  <si>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</si>
  <si>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</si>
  <si>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</si>
  <si>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</si>
  <si>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</si>
  <si>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</si>
  <si>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</si>
  <si>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</si>
  <si>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</si>
  <si>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</si>
  <si>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</si>
  <si>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</si>
  <si>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</si>
  <si>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</si>
  <si>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</si>
  <si>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</si>
  <si>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</si>
  <si>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</si>
  <si>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</si>
  <si>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</si>
  <si>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</si>
  <si>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</si>
  <si>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</si>
  <si>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</si>
  <si>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</si>
  <si>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</si>
  <si>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</si>
  <si>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</si>
  <si>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</si>
  <si>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</si>
  <si>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</si>
  <si>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</si>
  <si>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</si>
  <si>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</si>
  <si>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</si>
  <si>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</si>
  <si>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</si>
  <si>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</si>
  <si>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</si>
  <si>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</si>
  <si>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</si>
  <si>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</si>
  <si>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</si>
  <si>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</si>
  <si>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</si>
  <si>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</si>
  <si>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</si>
  <si>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</si>
  <si>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</si>
  <si>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</si>
  <si>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</si>
  <si>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</si>
  <si>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</si>
  <si>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</si>
  <si>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</si>
  <si>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</si>
  <si>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</si>
  <si>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</si>
  <si>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</si>
  <si>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</si>
  <si>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</si>
  <si>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</si>
  <si>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</si>
  <si>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</si>
  <si>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</si>
  <si>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</si>
  <si>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</si>
  <si>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</si>
  <si>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</si>
  <si>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</si>
  <si>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</si>
  <si>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</si>
  <si>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</si>
  <si>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</si>
  <si>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</si>
  <si>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</si>
  <si>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</si>
  <si>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</si>
  <si>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</si>
  <si>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</si>
  <si>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</si>
  <si>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</si>
  <si>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</si>
  <si>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</si>
  <si>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</si>
  <si>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</si>
  <si>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</si>
  <si>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</si>
  <si>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</si>
  <si>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</si>
  <si>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</si>
  <si>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</si>
  <si>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</si>
  <si>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</si>
  <si>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</si>
  <si>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</si>
  <si>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</si>
  <si>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</si>
  <si>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</si>
  <si>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</si>
  <si>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</si>
  <si>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</si>
  <si>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</si>
  <si>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</si>
  <si>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</si>
  <si>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</si>
  <si>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</si>
  <si>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</si>
  <si>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</si>
  <si>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</si>
  <si>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</si>
  <si>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</si>
  <si>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</si>
  <si>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</si>
  <si>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</si>
  <si>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</si>
  <si>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</si>
  <si>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</si>
  <si>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</si>
  <si>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</si>
  <si>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</si>
  <si>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</si>
  <si>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</si>
  <si>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</si>
  <si>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</si>
  <si>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</si>
  <si>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</si>
  <si>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</si>
  <si>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</si>
  <si>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</si>
  <si>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</si>
  <si>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</si>
  <si>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</si>
  <si>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</si>
  <si>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</si>
  <si>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</si>
  <si>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</si>
  <si>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</si>
  <si>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</si>
  <si>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</si>
  <si>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</si>
  <si>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</si>
  <si>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</si>
  <si>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</si>
  <si>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</si>
  <si>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</si>
  <si>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</si>
  <si>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</si>
  <si>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</si>
  <si>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</si>
  <si>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</si>
  <si>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</si>
  <si>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</si>
  <si>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</si>
  <si>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</si>
  <si>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</si>
  <si>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</si>
  <si>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</si>
  <si>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</si>
  <si>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</si>
  <si>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</si>
  <si>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</si>
  <si>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</si>
  <si>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</si>
  <si>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</si>
  <si>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</si>
  <si>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</si>
  <si>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</si>
  <si>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</si>
  <si>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</si>
  <si>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</si>
  <si>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</si>
  <si>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</si>
  <si>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</si>
  <si>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</si>
  <si>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</si>
  <si>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</si>
  <si>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</si>
  <si>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</si>
  <si>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</si>
  <si>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</si>
  <si>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</si>
  <si>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</si>
  <si>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</si>
  <si>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</si>
  <si>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</si>
  <si>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</si>
  <si>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</si>
  <si>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</si>
  <si>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</si>
  <si>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</si>
  <si>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</si>
  <si>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</si>
  <si>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</si>
  <si>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</si>
  <si>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</si>
  <si>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</si>
  <si>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</si>
  <si>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</si>
  <si>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</si>
  <si>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</si>
  <si>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</si>
  <si>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</si>
  <si>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</si>
  <si>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</si>
  <si>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</si>
  <si>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</si>
  <si>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</si>
  <si>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</si>
  <si>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</si>
  <si>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</si>
  <si>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</si>
  <si>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</si>
  <si>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</si>
  <si>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</si>
  <si>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</si>
  <si>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</si>
  <si>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</si>
  <si>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</si>
  <si>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</si>
  <si>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</si>
  <si>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</si>
  <si>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</si>
  <si>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</si>
  <si>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</si>
  <si>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</si>
  <si>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</si>
  <si>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</si>
  <si>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</si>
  <si>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</si>
  <si>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</si>
  <si>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</si>
  <si>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</si>
  <si>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</si>
  <si>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</si>
  <si>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</si>
  <si>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</si>
  <si>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</si>
  <si>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</si>
  <si>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</si>
  <si>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</si>
  <si>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</si>
  <si>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</si>
  <si>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</si>
  <si>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</si>
  <si>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</si>
  <si>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</si>
  <si>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</si>
  <si>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</si>
  <si>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</si>
  <si>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</si>
  <si>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</si>
  <si>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</si>
  <si>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</si>
  <si>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</si>
  <si>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</si>
  <si>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</si>
  <si>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</si>
  <si>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</si>
  <si>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</si>
  <si>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</si>
  <si>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</si>
  <si>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</si>
  <si>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</si>
  <si>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</si>
  <si>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</si>
  <si>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</si>
  <si>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</si>
  <si>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</si>
  <si>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</si>
  <si>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</si>
  <si>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</si>
  <si>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</si>
  <si>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</si>
  <si>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</si>
  <si>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</si>
  <si>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</si>
  <si>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</si>
  <si>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</si>
  <si>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</si>
  <si>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</si>
  <si>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</si>
  <si>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</si>
  <si>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</si>
  <si>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</si>
  <si>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</si>
  <si>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</si>
  <si>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</si>
  <si>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</si>
  <si>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</si>
  <si>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</si>
  <si>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</si>
  <si>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</si>
  <si>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</si>
  <si>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</si>
  <si>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</si>
  <si>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</si>
  <si>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</si>
  <si>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</si>
  <si>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</si>
  <si>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</si>
  <si>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</si>
  <si>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</si>
  <si>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</si>
  <si>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</si>
  <si>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</si>
  <si>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</si>
  <si>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</si>
  <si>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</si>
  <si>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</si>
  <si>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</si>
  <si>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</si>
  <si>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</si>
  <si>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</si>
  <si>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</si>
  <si>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</si>
  <si>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</si>
  <si>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</si>
  <si>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</si>
  <si>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</si>
  <si>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</si>
  <si>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</si>
  <si>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</si>
  <si>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</si>
  <si>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</si>
  <si>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</si>
  <si>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</si>
  <si>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</si>
  <si>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</si>
  <si>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</si>
  <si>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</si>
  <si>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</si>
  <si>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</si>
  <si>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</si>
  <si>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</si>
  <si>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</si>
  <si>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</si>
  <si>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</si>
  <si>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</si>
  <si>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</si>
  <si>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</si>
  <si>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</si>
  <si>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</si>
  <si>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</si>
  <si>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</si>
  <si>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</si>
  <si>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</si>
  <si>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</si>
  <si>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</si>
  <si>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</si>
  <si>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</si>
  <si>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</si>
  <si>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</si>
  <si>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</si>
  <si>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</si>
  <si>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</si>
  <si>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</si>
  <si>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</si>
  <si>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</si>
  <si>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</si>
  <si>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</si>
  <si>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</si>
  <si>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</si>
  <si>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</si>
  <si>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</si>
  <si>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</si>
  <si>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</si>
  <si>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</si>
  <si>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</si>
  <si>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</si>
  <si>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</si>
  <si>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</si>
  <si>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</si>
  <si>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</si>
  <si>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</si>
  <si>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</si>
  <si>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</si>
  <si>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</si>
  <si>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</si>
  <si>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</si>
  <si>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</si>
  <si>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</si>
  <si>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</si>
  <si>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</si>
  <si>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</si>
  <si>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</si>
  <si>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</si>
  <si>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</si>
  <si>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</si>
  <si>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</si>
  <si>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</si>
  <si>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</si>
  <si>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</si>
  <si>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</si>
  <si>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</si>
  <si>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</si>
  <si>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</si>
  <si>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</si>
  <si>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</si>
  <si>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</si>
  <si>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</si>
  <si>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</si>
  <si>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</si>
  <si>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</si>
  <si>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</si>
  <si>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</si>
  <si>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</si>
  <si>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</si>
  <si>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</si>
  <si>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</si>
  <si>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</si>
  <si>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</si>
  <si>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</si>
  <si>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</si>
  <si>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</si>
  <si>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</si>
  <si>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</si>
  <si>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</si>
  <si>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</si>
  <si>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</si>
  <si>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</si>
  <si>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</si>
  <si>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</si>
  <si>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</si>
  <si>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</si>
  <si>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</si>
  <si>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</si>
  <si>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</si>
  <si>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</si>
  <si>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</si>
  <si>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</si>
  <si>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</si>
  <si>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</si>
  <si>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</si>
  <si>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</si>
  <si>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</si>
  <si>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</si>
  <si>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</si>
  <si>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</si>
  <si>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</si>
  <si>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</si>
  <si>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</si>
  <si>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</si>
  <si>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</si>
  <si>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</si>
  <si>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</si>
  <si>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</si>
  <si>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</si>
  <si>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</si>
  <si>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</si>
  <si>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</si>
  <si>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</si>
  <si>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</si>
  <si>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</si>
  <si>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</si>
  <si>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</si>
  <si>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</si>
  <si>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</si>
  <si>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</si>
  <si>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</si>
  <si>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</si>
  <si>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</si>
  <si>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</si>
  <si>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</si>
  <si>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</si>
  <si>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</si>
  <si>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</si>
  <si>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</si>
  <si>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</si>
  <si>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</si>
  <si>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</si>
  <si>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</si>
  <si>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</si>
  <si>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</si>
  <si>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</si>
  <si>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</si>
  <si>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</si>
  <si>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</si>
  <si>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</si>
  <si>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</si>
  <si>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</si>
  <si>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</si>
  <si>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</si>
  <si>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</si>
  <si>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</si>
  <si>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</si>
  <si>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</si>
  <si>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</si>
  <si>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</si>
  <si>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</si>
  <si>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</si>
  <si>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</si>
  <si>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</si>
  <si>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</si>
  <si>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</si>
  <si>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</si>
  <si>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</si>
  <si>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</si>
  <si>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</si>
  <si>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</si>
  <si>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</si>
  <si>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</si>
  <si>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</si>
  <si>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</si>
  <si>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</si>
  <si>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</si>
  <si>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</si>
  <si>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</si>
  <si>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</si>
  <si>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</si>
  <si>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</si>
  <si>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</si>
  <si>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</si>
  <si>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</si>
  <si>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</si>
  <si>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</si>
  <si>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</si>
  <si>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</si>
  <si>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</si>
  <si>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</si>
  <si>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</si>
  <si>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</si>
  <si>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</si>
  <si>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</si>
  <si>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</si>
  <si>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</si>
  <si>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</si>
  <si>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</si>
  <si>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</si>
  <si>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</si>
  <si>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</si>
  <si>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</si>
  <si>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</si>
  <si>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</si>
  <si>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</si>
  <si>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</si>
  <si>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</si>
  <si>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</si>
  <si>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</si>
  <si>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</si>
  <si>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</si>
  <si>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</si>
  <si>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</si>
  <si>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</si>
  <si>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</si>
  <si>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</si>
  <si>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</si>
  <si>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</si>
  <si>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</si>
  <si>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</si>
  <si>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</si>
  <si>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</si>
  <si>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</si>
  <si>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</si>
  <si>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</si>
  <si>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</si>
  <si>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</si>
  <si>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</si>
  <si>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</si>
  <si>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</si>
  <si>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</si>
  <si>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</si>
  <si>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</si>
  <si>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</si>
  <si>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</si>
  <si>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</si>
  <si>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</si>
  <si>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</si>
  <si>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</si>
  <si>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</si>
  <si>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</si>
  <si>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</si>
  <si>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</si>
  <si>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</si>
  <si>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</si>
  <si>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</si>
  <si>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</si>
  <si>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</si>
  <si>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</si>
  <si>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</si>
  <si>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</si>
  <si>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</si>
  <si>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</si>
  <si>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</si>
  <si>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</si>
  <si>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</si>
  <si>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</si>
  <si>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</si>
  <si>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</si>
  <si>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</si>
  <si>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</si>
  <si>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</si>
  <si>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</si>
  <si>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</si>
  <si>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</si>
  <si>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</si>
  <si>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</si>
  <si>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</si>
  <si>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</si>
  <si>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</si>
  <si>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</si>
  <si>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</si>
  <si>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</si>
  <si>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</si>
  <si>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</si>
  <si>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</si>
  <si>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</si>
  <si>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</si>
  <si>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</si>
  <si>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</si>
  <si>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</si>
  <si>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</si>
  <si>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</si>
  <si>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</si>
  <si>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</si>
  <si>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</si>
  <si>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</si>
  <si>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</si>
  <si>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</si>
  <si>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</si>
  <si>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</si>
  <si>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</si>
  <si>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</si>
  <si>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</si>
  <si>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</si>
  <si>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</si>
  <si>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</si>
  <si>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</si>
  <si>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</si>
  <si>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</si>
  <si>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</si>
  <si>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</si>
  <si>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</si>
  <si>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</si>
  <si>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</si>
  <si>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</si>
  <si>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</si>
  <si>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</si>
  <si>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</si>
  <si>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</si>
  <si>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</si>
  <si>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</si>
  <si>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</si>
  <si>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</si>
  <si>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</si>
  <si>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</si>
  <si>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</si>
  <si>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</si>
  <si>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</si>
  <si>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</si>
  <si>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</si>
  <si>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</si>
  <si>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</si>
  <si>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</si>
  <si>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</si>
  <si>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</si>
  <si>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</si>
  <si>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</si>
  <si>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</si>
  <si>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</si>
  <si>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</si>
  <si>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</si>
  <si>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</si>
  <si>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</si>
  <si>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</si>
  <si>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</si>
  <si>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</si>
  <si>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</si>
  <si>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</si>
  <si>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</si>
  <si>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</si>
  <si>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</si>
  <si>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</si>
  <si>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</si>
  <si>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</si>
  <si>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</si>
  <si>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</si>
  <si>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</si>
  <si>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</si>
  <si>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</si>
  <si>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</si>
  <si>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</si>
  <si>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</si>
  <si>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</si>
  <si>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</si>
  <si>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</si>
  <si>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</si>
  <si>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</si>
  <si>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</si>
  <si>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</si>
  <si>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</si>
  <si>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</si>
  <si>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</si>
  <si>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</si>
  <si>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</si>
  <si>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</si>
  <si>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</si>
  <si>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</si>
  <si>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</si>
  <si>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</si>
  <si>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</si>
  <si>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</si>
  <si>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</si>
  <si>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</si>
  <si>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</si>
  <si>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</si>
  <si>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</si>
  <si>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</si>
  <si>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</si>
  <si>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</si>
  <si>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</si>
  <si>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</si>
  <si>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</si>
  <si>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</si>
  <si>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</si>
  <si>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</si>
  <si>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</si>
  <si>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</si>
  <si>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</si>
  <si>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</si>
  <si>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</si>
  <si>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</si>
  <si>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</si>
  <si>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</si>
  <si>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</si>
  <si>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</si>
  <si>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</si>
  <si>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</si>
  <si>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</si>
  <si>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</si>
  <si>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</si>
  <si>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</si>
  <si>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</si>
  <si>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</si>
  <si>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</si>
  <si>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</si>
  <si>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</si>
  <si>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</si>
  <si>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</si>
  <si>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</si>
  <si>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</si>
  <si>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</si>
  <si>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</si>
  <si>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</si>
  <si>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</si>
  <si>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</si>
  <si>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</si>
  <si>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</si>
  <si>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</si>
  <si>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</si>
  <si>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</si>
  <si>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</si>
  <si>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</si>
  <si>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</si>
  <si>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</si>
  <si>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</si>
  <si>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</si>
  <si>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</si>
  <si>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</si>
  <si>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</si>
  <si>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</si>
  <si>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</si>
  <si>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</si>
  <si>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</si>
  <si>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</si>
  <si>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</si>
  <si>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</si>
  <si>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</si>
  <si>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</si>
  <si>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</si>
  <si>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</si>
  <si>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</si>
  <si>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</si>
  <si>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</si>
  <si>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</si>
  <si>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</si>
  <si>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</si>
  <si>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</si>
  <si>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</si>
  <si>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</si>
  <si>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</si>
  <si>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</si>
  <si>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</si>
  <si>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</si>
  <si>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</si>
  <si>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</si>
  <si>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</si>
  <si>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</si>
  <si>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</si>
  <si>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</si>
  <si>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</si>
  <si>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</si>
  <si>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</si>
  <si>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</si>
  <si>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</si>
  <si>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</si>
  <si>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</si>
  <si>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</si>
  <si>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</si>
  <si>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</si>
  <si>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</si>
  <si>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</si>
  <si>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</si>
  <si>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</si>
  <si>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</si>
  <si>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</si>
  <si>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</si>
  <si>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</si>
  <si>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</si>
  <si>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</si>
  <si>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</si>
  <si>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</si>
  <si>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</si>
  <si>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</si>
  <si>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</si>
  <si>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</si>
  <si>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</si>
  <si>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</si>
  <si>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</si>
  <si>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</si>
  <si>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</si>
  <si>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</si>
  <si>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</si>
  <si>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</si>
  <si>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</si>
  <si>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</si>
  <si>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</si>
  <si>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</si>
  <si>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</si>
  <si>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</si>
  <si>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</si>
  <si>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</si>
  <si>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</si>
  <si>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</si>
  <si>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</si>
  <si>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</si>
  <si>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</si>
  <si>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</si>
  <si>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</si>
  <si>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</si>
  <si>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</si>
  <si>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</si>
  <si>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</si>
  <si>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</si>
  <si>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</si>
  <si>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</si>
  <si>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</si>
  <si>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</si>
  <si>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</si>
  <si>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</si>
  <si>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</si>
  <si>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</si>
  <si>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</si>
  <si>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</si>
  <si>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</si>
  <si>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</si>
  <si>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</si>
  <si>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</si>
  <si>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</si>
  <si>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</si>
  <si>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</si>
  <si>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</si>
  <si>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</si>
  <si>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</si>
  <si>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</si>
  <si>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</si>
  <si>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</si>
  <si>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</si>
  <si>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</si>
  <si>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</si>
  <si>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</si>
  <si>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</si>
  <si>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</si>
  <si>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</si>
  <si>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</si>
  <si>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</si>
  <si>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</si>
  <si>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</si>
  <si>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</si>
  <si>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</si>
  <si>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</si>
  <si>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</si>
  <si>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</si>
  <si>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</si>
  <si>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</si>
  <si>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</si>
  <si>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</si>
  <si>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</si>
  <si>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</si>
  <si>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</si>
  <si>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</si>
  <si>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</si>
  <si>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</si>
  <si>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</si>
  <si>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</si>
  <si>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</si>
  <si>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</si>
  <si>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</si>
  <si>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</si>
  <si>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</si>
  <si>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</si>
  <si>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</si>
  <si>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</si>
  <si>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</si>
  <si>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</si>
  <si>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</si>
  <si>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</si>
  <si>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</si>
  <si>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</si>
  <si>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</si>
  <si>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</si>
  <si>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</si>
  <si>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</si>
  <si>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</si>
  <si>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</si>
  <si>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</si>
  <si>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</si>
  <si>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</si>
  <si>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</si>
  <si>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</si>
  <si>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</si>
  <si>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</si>
  <si>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</si>
  <si>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</si>
  <si>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</si>
  <si>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</si>
  <si>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</si>
  <si>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</si>
  <si>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</si>
  <si>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</si>
  <si>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</si>
  <si>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</si>
  <si>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</si>
  <si>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</si>
  <si>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</si>
  <si>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</si>
  <si>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</si>
  <si>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</si>
  <si>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</si>
  <si>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</si>
  <si>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</si>
  <si>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</si>
  <si>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</si>
  <si>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</si>
  <si>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</si>
  <si>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</si>
  <si>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</si>
  <si>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</si>
  <si>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</si>
  <si>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</si>
  <si>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</si>
  <si>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</si>
  <si>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</si>
  <si>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</si>
  <si>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</si>
  <si>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</si>
  <si>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</si>
  <si>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</si>
  <si>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</si>
  <si>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</si>
  <si>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</si>
  <si>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</si>
  <si>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</si>
  <si>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</si>
  <si>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</si>
  <si>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</si>
  <si>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</si>
  <si>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</si>
  <si>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</si>
  <si>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</si>
  <si>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</si>
  <si>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</si>
  <si>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</si>
  <si>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</si>
  <si>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</si>
  <si>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</si>
  <si>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</si>
  <si>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</si>
  <si>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</si>
  <si>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</si>
  <si>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</si>
  <si>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</si>
  <si>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</si>
  <si>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</si>
  <si>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</si>
  <si>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</si>
  <si>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</si>
  <si>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</si>
  <si>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</si>
  <si>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</si>
  <si>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</si>
  <si>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</si>
  <si>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</si>
  <si>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</si>
  <si>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</si>
  <si>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</si>
  <si>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</si>
  <si>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</si>
  <si>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</si>
  <si>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</si>
  <si>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</si>
  <si>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</si>
  <si>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</si>
  <si>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</si>
  <si>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</si>
  <si>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</si>
  <si>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</si>
  <si>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</si>
  <si>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</si>
  <si>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</si>
  <si>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</si>
  <si>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</si>
  <si>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</si>
  <si>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</si>
  <si>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</si>
  <si>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</si>
  <si>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</si>
  <si>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</si>
  <si>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</si>
  <si>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</si>
  <si>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</si>
  <si>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</si>
  <si>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</si>
  <si>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</si>
  <si>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</si>
  <si>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</si>
  <si>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</si>
  <si>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</si>
  <si>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</si>
  <si>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</si>
  <si>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</si>
  <si>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</si>
  <si>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</si>
  <si>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</si>
  <si>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</si>
  <si>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</si>
  <si>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</si>
  <si>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</si>
  <si>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</si>
  <si>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</si>
  <si>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</si>
  <si>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</si>
  <si>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</si>
  <si>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</si>
  <si>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</si>
  <si>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</si>
  <si>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</si>
  <si>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</si>
  <si>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</si>
  <si>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</si>
  <si>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</si>
  <si>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</si>
  <si>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</si>
  <si>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</si>
  <si>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</si>
  <si>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</si>
  <si>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</si>
  <si>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</si>
  <si>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</si>
  <si>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</si>
  <si>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</si>
  <si>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</si>
  <si>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</si>
  <si>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</si>
  <si>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</si>
  <si>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</si>
  <si>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</si>
  <si>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</si>
  <si>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</si>
  <si>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</si>
  <si>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</si>
  <si>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</si>
  <si>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</si>
  <si>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</si>
  <si>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</si>
  <si>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</si>
  <si>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</si>
  <si>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</si>
  <si>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</si>
  <si>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</si>
  <si>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</si>
  <si>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</si>
  <si>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</si>
  <si>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</si>
  <si>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</si>
  <si>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</si>
  <si>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</si>
  <si>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</si>
  <si>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</si>
  <si>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</si>
  <si>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</si>
  <si>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</si>
  <si>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</si>
  <si>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</si>
  <si>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</si>
  <si>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</si>
  <si>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</si>
  <si>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</si>
  <si>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</si>
  <si>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</si>
  <si>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</si>
  <si>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</si>
  <si>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</si>
  <si>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</si>
  <si>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</si>
  <si>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</si>
  <si>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</si>
  <si>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</si>
  <si>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</si>
  <si>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</si>
  <si>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</si>
  <si>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</si>
  <si>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</si>
  <si>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</si>
  <si>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</si>
  <si>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</si>
  <si>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</si>
  <si>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</si>
  <si>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</si>
  <si>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</si>
  <si>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</si>
  <si>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</si>
  <si>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</si>
  <si>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</si>
  <si>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</si>
  <si>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</si>
  <si>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</si>
  <si>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</si>
  <si>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</si>
  <si>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</si>
  <si>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</si>
  <si>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</si>
  <si>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</si>
  <si>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</si>
  <si>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</si>
  <si>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</si>
  <si>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</si>
  <si>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</si>
  <si>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</si>
  <si>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</si>
  <si>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</si>
  <si>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</si>
  <si>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</si>
  <si>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</si>
  <si>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</si>
  <si>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</si>
  <si>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</si>
  <si>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</si>
  <si>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</si>
  <si>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</si>
  <si>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</si>
  <si>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</si>
  <si>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</si>
  <si>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</si>
  <si>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</si>
  <si>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</si>
  <si>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</si>
  <si>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</si>
  <si>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</si>
  <si>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</si>
  <si>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</si>
  <si>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</si>
  <si>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</si>
  <si>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</si>
  <si>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</si>
  <si>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</si>
  <si>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</si>
  <si>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</si>
  <si>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</si>
  <si>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</si>
  <si>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</si>
  <si>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</si>
  <si>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</si>
  <si>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</si>
  <si>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</si>
  <si>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</si>
  <si>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</si>
  <si>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</si>
  <si>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</si>
  <si>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</si>
  <si>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</si>
  <si>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</si>
  <si>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</si>
  <si>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</si>
  <si>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</si>
  <si>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</si>
  <si>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</si>
  <si>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</si>
  <si>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</si>
  <si>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</si>
  <si>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</si>
  <si>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</si>
  <si>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</si>
  <si>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</si>
  <si>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</si>
  <si>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</si>
  <si>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</si>
  <si>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</si>
  <si>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</si>
  <si>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</si>
  <si>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</si>
  <si>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</si>
  <si>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</si>
  <si>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</si>
  <si>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</si>
  <si>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</si>
  <si>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</si>
  <si>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</si>
  <si>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</si>
  <si>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</si>
  <si>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</si>
  <si>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</si>
  <si>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</si>
  <si>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</si>
  <si>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</si>
  <si>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</si>
  <si>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</si>
  <si>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</si>
  <si>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</si>
  <si>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</si>
  <si>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</si>
  <si>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</si>
  <si>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</si>
  <si>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</si>
  <si>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</si>
  <si>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</si>
  <si>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</si>
  <si>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</si>
  <si>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</si>
  <si>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</si>
  <si>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</si>
  <si>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</si>
  <si>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</si>
  <si>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</si>
  <si>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</si>
  <si>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</si>
  <si>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</si>
  <si>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</si>
  <si>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</si>
  <si>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</si>
  <si>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</si>
  <si>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</si>
  <si>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</si>
  <si>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</si>
  <si>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</si>
  <si>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</si>
  <si>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</si>
  <si>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</si>
  <si>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</si>
  <si>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</si>
  <si>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</si>
  <si>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</si>
  <si>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</si>
  <si>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</si>
  <si>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</si>
  <si>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</si>
  <si>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</si>
  <si>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</si>
  <si>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</si>
  <si>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</si>
  <si>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</si>
  <si>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</si>
  <si>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</si>
  <si>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</si>
  <si>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</si>
  <si>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</si>
  <si>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</si>
  <si>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</si>
  <si>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</si>
  <si>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</si>
  <si>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</si>
  <si>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</si>
  <si>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</si>
  <si>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</si>
  <si>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</si>
  <si>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</si>
  <si>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</si>
  <si>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</si>
  <si>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</si>
  <si>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</si>
  <si>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</si>
  <si>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</si>
  <si>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</si>
  <si>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</si>
  <si>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</si>
  <si>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</si>
  <si>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</si>
  <si>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</si>
  <si>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</si>
  <si>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</si>
  <si>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</si>
  <si>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</si>
  <si>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</si>
  <si>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</si>
  <si>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</si>
  <si>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</si>
  <si>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</si>
  <si>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</si>
  <si>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</si>
  <si>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</si>
  <si>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</si>
  <si>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</si>
  <si>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</si>
  <si>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</si>
  <si>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</si>
  <si>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</si>
  <si>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</si>
  <si>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</si>
  <si>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</si>
  <si>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</si>
  <si>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</si>
  <si>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</si>
  <si>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</si>
  <si>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</si>
  <si>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</si>
  <si>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</si>
  <si>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</si>
  <si>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</si>
  <si>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</si>
  <si>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</si>
  <si>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</si>
  <si>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</si>
  <si>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</si>
  <si>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</si>
  <si>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</si>
  <si>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</si>
  <si>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</si>
  <si>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</si>
  <si>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</si>
  <si>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</si>
  <si>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</si>
  <si>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</si>
  <si>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</si>
  <si>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</si>
  <si>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</si>
  <si>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</si>
  <si>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</si>
  <si>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</si>
  <si>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</si>
  <si>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</si>
  <si>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</si>
  <si>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</si>
  <si>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</si>
  <si>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</si>
  <si>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</si>
  <si>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</si>
  <si>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</si>
  <si>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</si>
  <si>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</si>
  <si>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</si>
  <si>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</si>
  <si>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</si>
  <si>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</si>
  <si>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</si>
  <si>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</si>
  <si>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</si>
  <si>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</si>
  <si>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</si>
  <si>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</si>
  <si>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</si>
  <si>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</si>
  <si>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</si>
  <si>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</si>
  <si>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</si>
  <si>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</si>
  <si>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</si>
  <si>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</si>
  <si>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</si>
  <si>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</si>
  <si>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</si>
  <si>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</si>
  <si>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</si>
  <si>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</si>
  <si>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</si>
  <si>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</si>
  <si>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</si>
  <si>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</si>
  <si>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</si>
  <si>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</si>
  <si>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</si>
  <si>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</si>
  <si>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</si>
  <si>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</si>
  <si>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</si>
  <si>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</si>
  <si>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</si>
  <si>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</si>
  <si>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</si>
  <si>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</si>
  <si>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</si>
  <si>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</si>
  <si>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</si>
  <si>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</si>
  <si>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</si>
  <si>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</si>
  <si>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</si>
  <si>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</si>
  <si>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</si>
  <si>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</si>
  <si>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</si>
  <si>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</si>
  <si>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</si>
  <si>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</si>
  <si>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</si>
  <si>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</si>
  <si>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</si>
  <si>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</si>
  <si>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</si>
  <si>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</si>
  <si>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</si>
  <si>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</si>
  <si>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</si>
  <si>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</si>
  <si>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</si>
  <si>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</si>
  <si>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</si>
  <si>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</si>
  <si>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</si>
  <si>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</si>
  <si>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</si>
  <si>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</si>
  <si>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</si>
  <si>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</si>
  <si>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</si>
  <si>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</si>
  <si>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</si>
  <si>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</si>
  <si>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</si>
  <si>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</si>
  <si>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</si>
  <si>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</si>
  <si>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</si>
  <si>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</si>
  <si>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</si>
  <si>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</si>
  <si>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</si>
  <si>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</si>
  <si>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</si>
  <si>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</si>
  <si>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</si>
  <si>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</si>
  <si>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</si>
  <si>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</si>
  <si>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</si>
  <si>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</si>
  <si>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</si>
  <si>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</si>
  <si>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</si>
  <si>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</si>
  <si>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</si>
  <si>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</si>
  <si>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</si>
  <si>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</si>
  <si>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</si>
  <si>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</si>
  <si>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</si>
  <si>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</si>
  <si>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</si>
  <si>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</si>
  <si>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</si>
  <si>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</si>
  <si>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</si>
  <si>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</si>
  <si>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</si>
  <si>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</si>
  <si>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</si>
  <si>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</si>
  <si>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</si>
  <si>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</si>
  <si>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</si>
  <si>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</si>
  <si>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</si>
  <si>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</si>
  <si>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</si>
  <si>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</si>
  <si>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</si>
  <si>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</si>
  <si>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</si>
  <si>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</si>
  <si>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</si>
  <si>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</si>
  <si>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</si>
  <si>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</si>
  <si>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</si>
  <si>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</si>
  <si>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</si>
  <si>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</si>
  <si>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</si>
  <si>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</si>
  <si>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</si>
  <si>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</si>
  <si>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</si>
  <si>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</si>
  <si>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</si>
  <si>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</si>
  <si>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</si>
  <si>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</si>
  <si>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</si>
  <si>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</si>
  <si>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</si>
  <si>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</si>
  <si>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</si>
  <si>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</si>
  <si>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</si>
  <si>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</si>
  <si>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</si>
  <si>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</si>
  <si>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</si>
  <si>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</si>
  <si>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</si>
  <si>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</si>
  <si>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</si>
  <si>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</si>
  <si>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</si>
  <si>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</si>
  <si>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</si>
  <si>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</si>
  <si>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</si>
  <si>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</si>
  <si>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</si>
  <si>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</si>
  <si>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</si>
  <si>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</si>
  <si>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</si>
  <si>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</si>
  <si>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</si>
  <si>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</si>
  <si>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</si>
  <si>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</si>
  <si>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</si>
  <si>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</si>
  <si>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</si>
  <si>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</si>
  <si>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</si>
  <si>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</si>
  <si>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</si>
  <si>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</si>
  <si>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</si>
  <si>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</si>
  <si>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</si>
  <si>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</si>
  <si>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</si>
  <si>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</si>
  <si>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</si>
  <si>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</si>
  <si>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</si>
  <si>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</si>
  <si>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</si>
  <si>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</si>
  <si>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</si>
  <si>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</si>
  <si>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</si>
  <si>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</si>
  <si>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</si>
  <si>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</si>
  <si>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</si>
  <si>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</si>
  <si>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</si>
  <si>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</si>
  <si>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</si>
  <si>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</si>
  <si>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</si>
  <si>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</si>
  <si>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</si>
  <si>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</si>
  <si>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</si>
  <si>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</si>
  <si>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</si>
  <si>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</si>
  <si>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</si>
  <si>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</si>
  <si>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</si>
  <si>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</si>
  <si>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</si>
  <si>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</si>
  <si>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</si>
  <si>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</si>
  <si>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</si>
  <si>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</si>
  <si>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</si>
  <si>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</si>
  <si>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</si>
  <si>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</si>
  <si>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</si>
  <si>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</si>
  <si>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</si>
  <si>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</si>
  <si>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</si>
  <si>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</si>
  <si>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</si>
  <si>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</si>
  <si>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</si>
  <si>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</si>
  <si>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</si>
  <si>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</si>
  <si>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</si>
  <si>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</si>
  <si>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</si>
  <si>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</si>
  <si>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</si>
  <si>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</si>
  <si>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</si>
  <si>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</si>
  <si>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</si>
  <si>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</si>
  <si>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</si>
  <si>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</si>
  <si>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</si>
  <si>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</si>
  <si>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</si>
  <si>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</si>
  <si>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</si>
  <si>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</si>
  <si>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</si>
  <si>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</si>
  <si>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</si>
  <si>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</si>
  <si>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</si>
  <si>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</si>
  <si>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</si>
  <si>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</si>
  <si>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</si>
  <si>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</si>
  <si>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</si>
  <si>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</si>
  <si>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</si>
  <si>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</si>
  <si>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</si>
  <si>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</si>
  <si>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</si>
  <si>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</si>
  <si>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</si>
  <si>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</si>
  <si>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</si>
  <si>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</si>
  <si>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</si>
  <si>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</si>
  <si>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</si>
  <si>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</si>
  <si>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</si>
  <si>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</si>
  <si>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</si>
  <si>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</si>
  <si>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</si>
  <si>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</si>
  <si>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</si>
  <si>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</si>
  <si>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</si>
  <si>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</si>
  <si>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</si>
  <si>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</si>
  <si>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</si>
  <si>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</si>
  <si>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</si>
  <si>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</si>
  <si>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</si>
  <si>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</si>
  <si>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</si>
  <si>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</si>
  <si>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</si>
  <si>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</si>
  <si>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</si>
  <si>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</si>
  <si>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</si>
  <si>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</si>
  <si>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</si>
  <si>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</si>
  <si>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</si>
  <si>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</si>
  <si>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</si>
  <si>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</si>
  <si>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</si>
  <si>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</si>
  <si>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</si>
  <si>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</si>
  <si>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</si>
  <si>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</si>
  <si>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</si>
  <si>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</si>
  <si>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</si>
  <si>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</si>
  <si>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</si>
  <si>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</si>
  <si>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</si>
  <si>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</si>
  <si>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</si>
  <si>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</si>
  <si>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</si>
  <si>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</si>
  <si>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</si>
  <si>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</si>
  <si>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</si>
  <si>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</si>
  <si>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</si>
  <si>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</si>
  <si>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</si>
  <si>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</si>
  <si>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</si>
  <si>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</si>
  <si>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</si>
  <si>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</si>
  <si>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</si>
  <si>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</si>
  <si>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</si>
  <si>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</si>
  <si>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</si>
  <si>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</si>
  <si>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</si>
  <si>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</si>
  <si>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</si>
  <si>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</si>
  <si>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</si>
  <si>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</si>
  <si>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</si>
  <si>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</si>
  <si>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</si>
  <si>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</si>
  <si>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</si>
  <si>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</si>
  <si>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</si>
  <si>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</si>
  <si>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</si>
  <si>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</si>
  <si>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</si>
  <si>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</si>
  <si>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</si>
  <si>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</si>
  <si>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</si>
  <si>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</si>
  <si>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</si>
  <si>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</si>
  <si>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</si>
  <si>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</si>
  <si>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</si>
  <si>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</si>
  <si>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</si>
  <si>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</si>
  <si>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</si>
  <si>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</si>
  <si>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</si>
  <si>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</si>
  <si>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</si>
  <si>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</si>
  <si>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</si>
  <si>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</si>
  <si>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</si>
  <si>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</si>
  <si>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</si>
  <si>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</si>
  <si>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</si>
  <si>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</si>
  <si>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</si>
  <si>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</si>
  <si>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</si>
  <si>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</si>
  <si>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</si>
  <si>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</si>
  <si>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</si>
  <si>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</si>
  <si>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</si>
  <si>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</si>
  <si>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</si>
  <si>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</si>
  <si>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</si>
  <si>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</si>
  <si>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</si>
  <si>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</si>
  <si>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</si>
  <si>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</si>
  <si>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</si>
  <si>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</si>
  <si>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</si>
  <si>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</si>
  <si>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</si>
  <si>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</si>
  <si>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</si>
  <si>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</si>
  <si>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</si>
  <si>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</si>
  <si>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</si>
  <si>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</si>
  <si>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</si>
  <si>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</si>
  <si>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</si>
  <si>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</si>
  <si>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</si>
  <si>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</si>
  <si>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</si>
  <si>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</si>
  <si>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</si>
  <si>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</si>
  <si>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</si>
  <si>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</si>
  <si>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</si>
  <si>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</si>
  <si>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</si>
  <si>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</si>
  <si>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</si>
  <si>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</si>
  <si>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</si>
  <si>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</si>
  <si>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</si>
  <si>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</si>
  <si>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</si>
  <si>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</si>
  <si>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</si>
  <si>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</si>
  <si>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</si>
  <si>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</si>
  <si>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</si>
  <si>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</si>
  <si>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</si>
  <si>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</si>
  <si>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</si>
  <si>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</si>
  <si>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</si>
  <si>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</si>
  <si>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</si>
  <si>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</si>
  <si>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</si>
  <si>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</si>
  <si>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</si>
  <si>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</si>
  <si>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</si>
  <si>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</si>
  <si>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</si>
  <si>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</si>
  <si>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</si>
  <si>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</si>
  <si>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</si>
  <si>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</si>
  <si>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</si>
  <si>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</si>
  <si>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</si>
  <si>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</si>
  <si>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</si>
  <si>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</si>
  <si>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</si>
  <si>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</si>
  <si>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</si>
  <si>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</si>
  <si>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</si>
  <si>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</si>
  <si>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</si>
  <si>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</si>
  <si>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</si>
  <si>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</si>
  <si>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</si>
  <si>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</si>
  <si>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</si>
  <si>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</si>
  <si>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</si>
  <si>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</si>
  <si>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</si>
  <si>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</si>
  <si>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</si>
  <si>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</si>
  <si>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</si>
  <si>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</si>
  <si>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</si>
  <si>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</si>
  <si>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</si>
  <si>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</si>
  <si>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</si>
  <si>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</si>
  <si>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</si>
  <si>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</si>
  <si>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</si>
  <si>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</si>
  <si>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</si>
  <si>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</si>
  <si>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</si>
  <si>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</si>
  <si>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</si>
  <si>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</si>
  <si>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</si>
  <si>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</si>
  <si>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</si>
  <si>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</si>
  <si>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</si>
  <si>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</si>
  <si>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</si>
  <si>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</si>
  <si>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</si>
  <si>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</si>
  <si>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</si>
  <si>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</si>
  <si>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</si>
  <si>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</si>
  <si>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</si>
  <si>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</si>
  <si>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</si>
  <si>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</si>
  <si>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</si>
  <si>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</si>
  <si>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</si>
  <si>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</si>
  <si>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</si>
  <si>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</si>
  <si>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</si>
  <si>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</si>
  <si>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</si>
  <si>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</si>
  <si>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</si>
  <si>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</si>
  <si>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</si>
  <si>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</si>
  <si>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</si>
  <si>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</si>
  <si>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</si>
  <si>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</si>
  <si>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</si>
  <si>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KAZALIŠNO KONCERTNA DVORANA IVANA BRLIĆ MAŽURANIĆ</t>
  </si>
  <si>
    <t>TRG STJEPANA MILETIĆA 12</t>
  </si>
  <si>
    <t>KREŠIMIR PEIĆ</t>
  </si>
  <si>
    <t>035449275</t>
  </si>
  <si>
    <t>035492590</t>
  </si>
  <si>
    <t>kresimir.peic@kkd-ibm.hr</t>
  </si>
  <si>
    <t>kkd-ibm@kkd-ibm.hr</t>
  </si>
  <si>
    <t>SANJA NUHANOVIĆ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</si>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</sst>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3321396</v>
      </c>
      <c r="D2" s="63">
        <f>PRRAS!E12</f>
        <v>3245873</v>
      </c>
      <c r="E2" s="63"/>
      <c r="F2" s="63"/>
      <c r="G2" s="64">
        <f t="shared" ref="G2:G65" si="0">(B2/1000)*(C2*1+D2*2)</f>
        <v>9813.1419999999998</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37277</v>
      </c>
      <c r="L10" s="50">
        <f>INT(VALUE(RefStr!B6))</f>
        <v>37277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03838099</v>
      </c>
      <c r="L11" s="50">
        <f>INT(VALUE(RefStr!B8))</f>
        <v>3838099</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KAZALIŠNO KONCERTNA DVORANA IVANA BRLIĆ MAŽURANIĆ</v>
      </c>
      <c r="L12" s="50">
        <f>LEN(Skriveni!K12)</f>
        <v>49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35000</v>
      </c>
      <c r="L13" s="50">
        <f>INT(VALUE(RefStr!B12))</f>
        <v>35000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SLAVONSKI BROD</v>
      </c>
      <c r="L14" s="50">
        <f>LEN(Skriveni!K14)</f>
        <v>14</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STJEPANA MILETIĆA 12</v>
      </c>
      <c r="L15" s="50">
        <f>LEN(Skriveni!K15)</f>
        <v>24</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9004</v>
      </c>
      <c r="L17" s="50">
        <f>INT(VALUE(RefStr!B18))</f>
        <v>9004</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396</v>
      </c>
      <c r="L19" s="50">
        <f>INT(VALUE(RefStr!B22))</f>
        <v>396</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12</v>
      </c>
      <c r="L20" s="50">
        <f>IF(ISERROR(RefStr!H2),0,INT(VALUE(RefStr!H2)))</f>
        <v>12</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50360608281</v>
      </c>
      <c r="L21" s="50">
        <f>INT(VALUE(RefStr!K14))</f>
        <v>50360608281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KREŠIMIR PEIĆ</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035492590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035449275</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kresimir.peic@kkd-ibm.hr</v>
      </c>
      <c r="L25" s="50">
        <f>LEN(RefStr!H29)</f>
        <v>24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kkd-ibm@kkd-ibm.hr</v>
      </c>
      <c r="L26" s="50">
        <f>LEN(RefStr!H31)</f>
        <v>18</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SANJA NUHANOVIĆ</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72.233.663,13</v>
      </c>
      <c r="L28" s="50">
        <f>SUM(G2:G1561)</f>
        <v>72233663.131000027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45274737.561999999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23323871.872999996</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3378857.895</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256195.80100000004</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471685</v>
      </c>
      <c r="D46" s="58">
        <f>PRRAS!E56</f>
        <v>169272</v>
      </c>
      <c r="E46" s="58">
        <v>0</v>
      </c>
      <c r="F46" s="58">
        <v>0</v>
      </c>
      <c r="G46" s="59">
        <f t="shared" si="0"/>
        <v>36460.305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471685</v>
      </c>
      <c r="D64" s="58">
        <f>PRRAS!E74</f>
        <v>169272</v>
      </c>
      <c r="E64" s="58">
        <v>0</v>
      </c>
      <c r="F64" s="58">
        <v>0</v>
      </c>
      <c r="G64" s="59">
        <f t="shared" si="0"/>
        <v>51044.427000000003</v>
      </c>
      <c r="H64" s="59">
        <f t="shared" si="1"/>
        <v>0</v>
      </c>
      <c r="I64" s="60">
        <v>0</v>
      </c>
    </row>
    <row r="65" spans="1:9" x14ac:dyDescent="0.2">
      <c r="A65" s="57">
        <v>151</v>
      </c>
      <c r="B65" s="58">
        <f>PRRAS!C75</f>
        <v>64</v>
      </c>
      <c r="C65" s="58">
        <f>PRRAS!D75</f>
        <v>171685</v>
      </c>
      <c r="D65" s="58">
        <f>PRRAS!E75</f>
        <v>169272</v>
      </c>
      <c r="E65" s="58">
        <v>0</v>
      </c>
      <c r="F65" s="58">
        <v>0</v>
      </c>
      <c r="G65" s="59">
        <f t="shared" si="0"/>
        <v>32654.655999999999</v>
      </c>
      <c r="H65" s="59">
        <f t="shared" si="1"/>
        <v>0</v>
      </c>
      <c r="I65" s="60">
        <v>0</v>
      </c>
    </row>
    <row r="66" spans="1:9" x14ac:dyDescent="0.2">
      <c r="A66" s="57">
        <v>151</v>
      </c>
      <c r="B66" s="58">
        <f>PRRAS!C76</f>
        <v>65</v>
      </c>
      <c r="C66" s="58">
        <f>PRRAS!D76</f>
        <v>300000</v>
      </c>
      <c r="D66" s="58">
        <f>PRRAS!E76</f>
        <v>0</v>
      </c>
      <c r="E66" s="58">
        <v>0</v>
      </c>
      <c r="F66" s="58">
        <v>0</v>
      </c>
      <c r="G66" s="59">
        <f t="shared" ref="G66:G129" si="2">(B66/1000)*(C66*1+D66*2)</f>
        <v>19500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338405</v>
      </c>
      <c r="D106" s="58">
        <f>PRRAS!E116</f>
        <v>405420</v>
      </c>
      <c r="E106" s="58">
        <v>0</v>
      </c>
      <c r="F106" s="58">
        <v>0</v>
      </c>
      <c r="G106" s="59">
        <f t="shared" si="2"/>
        <v>120670.72499999999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338405</v>
      </c>
      <c r="D112" s="58">
        <f>PRRAS!E122</f>
        <v>405420</v>
      </c>
      <c r="E112" s="58">
        <v>0</v>
      </c>
      <c r="F112" s="58">
        <v>0</v>
      </c>
      <c r="G112" s="59">
        <f t="shared" si="2"/>
        <v>127566.19500000001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338405</v>
      </c>
      <c r="D117" s="58">
        <f>PRRAS!E127</f>
        <v>405420</v>
      </c>
      <c r="E117" s="58">
        <v>0</v>
      </c>
      <c r="F117" s="58">
        <v>0</v>
      </c>
      <c r="G117" s="59">
        <f t="shared" si="2"/>
        <v>133312.42000000001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109551</v>
      </c>
      <c r="D124" s="58">
        <f>PRRAS!E134</f>
        <v>148932</v>
      </c>
      <c r="E124" s="58">
        <v>0</v>
      </c>
      <c r="F124" s="58">
        <v>0</v>
      </c>
      <c r="G124" s="59">
        <f t="shared" si="2"/>
        <v>50112.044999999998</v>
      </c>
      <c r="H124" s="59">
        <f t="shared" si="3"/>
        <v>0</v>
      </c>
      <c r="I124" s="60">
        <v>0</v>
      </c>
    </row>
    <row r="125" spans="1:9" x14ac:dyDescent="0.2">
      <c r="A125" s="57">
        <v>151</v>
      </c>
      <c r="B125" s="58">
        <f>PRRAS!C135</f>
        <v>124</v>
      </c>
      <c r="C125" s="58">
        <f>PRRAS!D135</f>
        <v>104551</v>
      </c>
      <c r="D125" s="58">
        <f>PRRAS!E135</f>
        <v>148932</v>
      </c>
      <c r="E125" s="58">
        <v>0</v>
      </c>
      <c r="F125" s="58">
        <v>0</v>
      </c>
      <c r="G125" s="59">
        <f t="shared" si="2"/>
        <v>49899.46</v>
      </c>
      <c r="H125" s="59">
        <f t="shared" si="3"/>
        <v>0</v>
      </c>
      <c r="I125" s="60">
        <v>0</v>
      </c>
    </row>
    <row r="126" spans="1:9" x14ac:dyDescent="0.2">
      <c r="A126" s="57">
        <v>151</v>
      </c>
      <c r="B126" s="58">
        <f>PRRAS!C136</f>
        <v>125</v>
      </c>
      <c r="C126" s="58">
        <f>PRRAS!D136</f>
        <v>12190</v>
      </c>
      <c r="D126" s="58">
        <f>PRRAS!E136</f>
        <v>10737</v>
      </c>
      <c r="E126" s="58">
        <v>0</v>
      </c>
      <c r="F126" s="58">
        <v>0</v>
      </c>
      <c r="G126" s="59">
        <f t="shared" si="2"/>
        <v>4208</v>
      </c>
      <c r="H126" s="59">
        <f t="shared" si="3"/>
        <v>0</v>
      </c>
      <c r="I126" s="60">
        <v>0</v>
      </c>
    </row>
    <row r="127" spans="1:9" x14ac:dyDescent="0.2">
      <c r="A127" s="57">
        <v>151</v>
      </c>
      <c r="B127" s="58">
        <f>PRRAS!C137</f>
        <v>126</v>
      </c>
      <c r="C127" s="58">
        <f>PRRAS!D137</f>
        <v>92361</v>
      </c>
      <c r="D127" s="58">
        <f>PRRAS!E137</f>
        <v>138195</v>
      </c>
      <c r="E127" s="58">
        <v>0</v>
      </c>
      <c r="F127" s="58">
        <v>0</v>
      </c>
      <c r="G127" s="59">
        <f t="shared" si="2"/>
        <v>46462.626000000004</v>
      </c>
      <c r="H127" s="59">
        <f t="shared" si="3"/>
        <v>0</v>
      </c>
      <c r="I127" s="60">
        <v>0</v>
      </c>
    </row>
    <row r="128" spans="1:9" x14ac:dyDescent="0.2">
      <c r="A128" s="57">
        <v>151</v>
      </c>
      <c r="B128" s="58">
        <f>PRRAS!C138</f>
        <v>127</v>
      </c>
      <c r="C128" s="58">
        <f>PRRAS!D138</f>
        <v>5000</v>
      </c>
      <c r="D128" s="58">
        <f>PRRAS!E138</f>
        <v>0</v>
      </c>
      <c r="E128" s="58">
        <v>0</v>
      </c>
      <c r="F128" s="58">
        <v>0</v>
      </c>
      <c r="G128" s="59">
        <f t="shared" si="2"/>
        <v>635</v>
      </c>
      <c r="H128" s="59">
        <f t="shared" si="3"/>
        <v>0</v>
      </c>
      <c r="I128" s="60">
        <v>0</v>
      </c>
    </row>
    <row r="129" spans="1:9" x14ac:dyDescent="0.2">
      <c r="A129" s="57">
        <v>151</v>
      </c>
      <c r="B129" s="58">
        <f>PRRAS!C139</f>
        <v>128</v>
      </c>
      <c r="C129" s="58">
        <f>PRRAS!D139</f>
        <v>5000</v>
      </c>
      <c r="D129" s="58">
        <f>PRRAS!E139</f>
        <v>0</v>
      </c>
      <c r="E129" s="58">
        <v>0</v>
      </c>
      <c r="F129" s="58">
        <v>0</v>
      </c>
      <c r="G129" s="59">
        <f t="shared" si="2"/>
        <v>640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2401755</v>
      </c>
      <c r="D131" s="58">
        <f>PRRAS!E141</f>
        <v>2513388</v>
      </c>
      <c r="E131" s="58">
        <v>0</v>
      </c>
      <c r="F131" s="58">
        <v>0</v>
      </c>
      <c r="G131" s="59">
        <f t="shared" si="4"/>
        <v>965709.03</v>
      </c>
      <c r="H131" s="59">
        <f t="shared" si="5"/>
        <v>0</v>
      </c>
      <c r="I131" s="60">
        <v>0</v>
      </c>
    </row>
    <row r="132" spans="1:9" x14ac:dyDescent="0.2">
      <c r="A132" s="57">
        <v>151</v>
      </c>
      <c r="B132" s="58">
        <f>PRRAS!C142</f>
        <v>131</v>
      </c>
      <c r="C132" s="58">
        <f>PRRAS!D142</f>
        <v>2401755</v>
      </c>
      <c r="D132" s="58">
        <f>PRRAS!E142</f>
        <v>2513388</v>
      </c>
      <c r="E132" s="58">
        <v>0</v>
      </c>
      <c r="F132" s="58">
        <v>0</v>
      </c>
      <c r="G132" s="59">
        <f t="shared" si="4"/>
        <v>973137.56099999999</v>
      </c>
      <c r="H132" s="59">
        <f t="shared" si="5"/>
        <v>0</v>
      </c>
      <c r="I132" s="60">
        <v>0</v>
      </c>
    </row>
    <row r="133" spans="1:9" x14ac:dyDescent="0.2">
      <c r="A133" s="57">
        <v>151</v>
      </c>
      <c r="B133" s="58">
        <f>PRRAS!C143</f>
        <v>132</v>
      </c>
      <c r="C133" s="58">
        <f>PRRAS!D143</f>
        <v>2200790</v>
      </c>
      <c r="D133" s="58">
        <f>PRRAS!E143</f>
        <v>2343252</v>
      </c>
      <c r="E133" s="58">
        <v>0</v>
      </c>
      <c r="F133" s="58">
        <v>0</v>
      </c>
      <c r="G133" s="59">
        <f t="shared" si="4"/>
        <v>909122.80800000008</v>
      </c>
      <c r="H133" s="59">
        <f t="shared" si="5"/>
        <v>0</v>
      </c>
      <c r="I133" s="60">
        <v>0</v>
      </c>
    </row>
    <row r="134" spans="1:9" x14ac:dyDescent="0.2">
      <c r="A134" s="57">
        <v>151</v>
      </c>
      <c r="B134" s="58">
        <f>PRRAS!C144</f>
        <v>133</v>
      </c>
      <c r="C134" s="58">
        <f>PRRAS!D144</f>
        <v>200965</v>
      </c>
      <c r="D134" s="58">
        <f>PRRAS!E144</f>
        <v>170136</v>
      </c>
      <c r="E134" s="58">
        <v>0</v>
      </c>
      <c r="F134" s="58">
        <v>0</v>
      </c>
      <c r="G134" s="59">
        <f t="shared" si="4"/>
        <v>71984.521000000008</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8861</v>
      </c>
      <c r="E137" s="58">
        <v>0</v>
      </c>
      <c r="F137" s="58">
        <v>0</v>
      </c>
      <c r="G137" s="59">
        <f t="shared" si="4"/>
        <v>2410.192</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8861</v>
      </c>
      <c r="E148" s="58">
        <v>0</v>
      </c>
      <c r="F148" s="58">
        <v>0</v>
      </c>
      <c r="G148" s="59">
        <f t="shared" si="4"/>
        <v>2605.134</v>
      </c>
      <c r="H148" s="59">
        <f t="shared" si="5"/>
        <v>0</v>
      </c>
      <c r="I148" s="60">
        <v>0</v>
      </c>
    </row>
    <row r="149" spans="1:9" x14ac:dyDescent="0.2">
      <c r="A149" s="57">
        <v>151</v>
      </c>
      <c r="B149" s="58">
        <f>PRRAS!C159</f>
        <v>148</v>
      </c>
      <c r="C149" s="58">
        <f>PRRAS!D159</f>
        <v>2816782</v>
      </c>
      <c r="D149" s="58">
        <f>PRRAS!E159</f>
        <v>2998351</v>
      </c>
      <c r="E149" s="58">
        <v>0</v>
      </c>
      <c r="F149" s="58">
        <v>0</v>
      </c>
      <c r="G149" s="59">
        <f t="shared" si="4"/>
        <v>1304395.632</v>
      </c>
      <c r="H149" s="59">
        <f t="shared" si="5"/>
        <v>0</v>
      </c>
      <c r="I149" s="60">
        <v>0</v>
      </c>
    </row>
    <row r="150" spans="1:9" x14ac:dyDescent="0.2">
      <c r="A150" s="57">
        <v>151</v>
      </c>
      <c r="B150" s="58">
        <f>PRRAS!C160</f>
        <v>149</v>
      </c>
      <c r="C150" s="58">
        <f>PRRAS!D160</f>
        <v>766143</v>
      </c>
      <c r="D150" s="58">
        <f>PRRAS!E160</f>
        <v>822066</v>
      </c>
      <c r="E150" s="58">
        <v>0</v>
      </c>
      <c r="F150" s="58">
        <v>0</v>
      </c>
      <c r="G150" s="59">
        <f t="shared" si="4"/>
        <v>359130.97499999998</v>
      </c>
      <c r="H150" s="59">
        <f t="shared" si="5"/>
        <v>0</v>
      </c>
      <c r="I150" s="60">
        <v>0</v>
      </c>
    </row>
    <row r="151" spans="1:9" x14ac:dyDescent="0.2">
      <c r="A151" s="57">
        <v>151</v>
      </c>
      <c r="B151" s="58">
        <f>PRRAS!C161</f>
        <v>150</v>
      </c>
      <c r="C151" s="58">
        <f>PRRAS!D161</f>
        <v>634420</v>
      </c>
      <c r="D151" s="58">
        <f>PRRAS!E161</f>
        <v>649355</v>
      </c>
      <c r="E151" s="58">
        <v>0</v>
      </c>
      <c r="F151" s="58">
        <v>0</v>
      </c>
      <c r="G151" s="59">
        <f t="shared" si="4"/>
        <v>289969.5</v>
      </c>
      <c r="H151" s="59">
        <f t="shared" si="5"/>
        <v>0</v>
      </c>
      <c r="I151" s="60">
        <v>0</v>
      </c>
    </row>
    <row r="152" spans="1:9" x14ac:dyDescent="0.2">
      <c r="A152" s="57">
        <v>151</v>
      </c>
      <c r="B152" s="58">
        <f>PRRAS!C162</f>
        <v>151</v>
      </c>
      <c r="C152" s="58">
        <f>PRRAS!D162</f>
        <v>634420</v>
      </c>
      <c r="D152" s="58">
        <f>PRRAS!E162</f>
        <v>649355</v>
      </c>
      <c r="E152" s="58">
        <v>0</v>
      </c>
      <c r="F152" s="58">
        <v>0</v>
      </c>
      <c r="G152" s="59">
        <f t="shared" si="4"/>
        <v>291902.63</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22603</v>
      </c>
      <c r="D156" s="58">
        <f>PRRAS!E166</f>
        <v>61022</v>
      </c>
      <c r="E156" s="58">
        <v>0</v>
      </c>
      <c r="F156" s="58">
        <v>0</v>
      </c>
      <c r="G156" s="59">
        <f t="shared" si="4"/>
        <v>22420.285</v>
      </c>
      <c r="H156" s="59">
        <f t="shared" si="5"/>
        <v>0</v>
      </c>
      <c r="I156" s="60">
        <v>0</v>
      </c>
    </row>
    <row r="157" spans="1:9" x14ac:dyDescent="0.2">
      <c r="A157" s="57">
        <v>151</v>
      </c>
      <c r="B157" s="58">
        <f>PRRAS!C167</f>
        <v>156</v>
      </c>
      <c r="C157" s="58">
        <f>PRRAS!D167</f>
        <v>109120</v>
      </c>
      <c r="D157" s="58">
        <f>PRRAS!E167</f>
        <v>111689</v>
      </c>
      <c r="E157" s="58">
        <v>0</v>
      </c>
      <c r="F157" s="58">
        <v>0</v>
      </c>
      <c r="G157" s="59">
        <f t="shared" si="4"/>
        <v>51869.688000000002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98335</v>
      </c>
      <c r="D159" s="58">
        <f>PRRAS!E169</f>
        <v>100650</v>
      </c>
      <c r="E159" s="58">
        <v>0</v>
      </c>
      <c r="F159" s="58">
        <v>0</v>
      </c>
      <c r="G159" s="59">
        <f t="shared" si="4"/>
        <v>47342.33</v>
      </c>
      <c r="H159" s="59">
        <f t="shared" si="5"/>
        <v>0</v>
      </c>
      <c r="I159" s="60">
        <v>0</v>
      </c>
    </row>
    <row r="160" spans="1:9" x14ac:dyDescent="0.2">
      <c r="A160" s="57">
        <v>151</v>
      </c>
      <c r="B160" s="58">
        <f>PRRAS!C170</f>
        <v>159</v>
      </c>
      <c r="C160" s="58">
        <f>PRRAS!D170</f>
        <v>10785</v>
      </c>
      <c r="D160" s="58">
        <f>PRRAS!E170</f>
        <v>11039</v>
      </c>
      <c r="E160" s="58">
        <v>0</v>
      </c>
      <c r="F160" s="58">
        <v>0</v>
      </c>
      <c r="G160" s="59">
        <f t="shared" si="4"/>
        <v>5225.2169999999996</v>
      </c>
      <c r="H160" s="59">
        <f t="shared" si="5"/>
        <v>0</v>
      </c>
      <c r="I160" s="60">
        <v>0</v>
      </c>
    </row>
    <row r="161" spans="1:9" x14ac:dyDescent="0.2">
      <c r="A161" s="57">
        <v>151</v>
      </c>
      <c r="B161" s="58">
        <f>PRRAS!C171</f>
        <v>160</v>
      </c>
      <c r="C161" s="58">
        <f>PRRAS!D171</f>
        <v>2050639</v>
      </c>
      <c r="D161" s="58">
        <f>PRRAS!E171</f>
        <v>2176285</v>
      </c>
      <c r="E161" s="58">
        <v>0</v>
      </c>
      <c r="F161" s="58">
        <v>0</v>
      </c>
      <c r="G161" s="59">
        <f t="shared" si="4"/>
        <v>1024513.4400000001</v>
      </c>
      <c r="H161" s="59">
        <f t="shared" si="5"/>
        <v>0</v>
      </c>
      <c r="I161" s="60">
        <v>0</v>
      </c>
    </row>
    <row r="162" spans="1:9" x14ac:dyDescent="0.2">
      <c r="A162" s="57">
        <v>151</v>
      </c>
      <c r="B162" s="58">
        <f>PRRAS!C172</f>
        <v>161</v>
      </c>
      <c r="C162" s="58">
        <f>PRRAS!D172</f>
        <v>24250</v>
      </c>
      <c r="D162" s="58">
        <f>PRRAS!E172</f>
        <v>28022</v>
      </c>
      <c r="E162" s="58">
        <v>0</v>
      </c>
      <c r="F162" s="58">
        <v>0</v>
      </c>
      <c r="G162" s="59">
        <f t="shared" si="4"/>
        <v>12927.334000000001</v>
      </c>
      <c r="H162" s="59">
        <f t="shared" si="5"/>
        <v>0</v>
      </c>
      <c r="I162" s="60">
        <v>0</v>
      </c>
    </row>
    <row r="163" spans="1:9" x14ac:dyDescent="0.2">
      <c r="A163" s="57">
        <v>151</v>
      </c>
      <c r="B163" s="58">
        <f>PRRAS!C173</f>
        <v>162</v>
      </c>
      <c r="C163" s="58">
        <f>PRRAS!D173</f>
        <v>7639</v>
      </c>
      <c r="D163" s="58">
        <f>PRRAS!E173</f>
        <v>10747</v>
      </c>
      <c r="E163" s="58">
        <v>0</v>
      </c>
      <c r="F163" s="58">
        <v>0</v>
      </c>
      <c r="G163" s="59">
        <f t="shared" si="4"/>
        <v>4719.5460000000003</v>
      </c>
      <c r="H163" s="59">
        <f t="shared" si="5"/>
        <v>0</v>
      </c>
      <c r="I163" s="60">
        <v>0</v>
      </c>
    </row>
    <row r="164" spans="1:9" x14ac:dyDescent="0.2">
      <c r="A164" s="57">
        <v>151</v>
      </c>
      <c r="B164" s="58">
        <f>PRRAS!C174</f>
        <v>163</v>
      </c>
      <c r="C164" s="58">
        <f>PRRAS!D174</f>
        <v>13321</v>
      </c>
      <c r="D164" s="58">
        <f>PRRAS!E174</f>
        <v>13300</v>
      </c>
      <c r="E164" s="58">
        <v>0</v>
      </c>
      <c r="F164" s="58">
        <v>0</v>
      </c>
      <c r="G164" s="59">
        <f t="shared" si="4"/>
        <v>6507.1230000000005</v>
      </c>
      <c r="H164" s="59">
        <f t="shared" si="5"/>
        <v>0</v>
      </c>
      <c r="I164" s="60">
        <v>0</v>
      </c>
    </row>
    <row r="165" spans="1:9" x14ac:dyDescent="0.2">
      <c r="A165" s="57">
        <v>151</v>
      </c>
      <c r="B165" s="58">
        <f>PRRAS!C175</f>
        <v>164</v>
      </c>
      <c r="C165" s="58">
        <f>PRRAS!D175</f>
        <v>3290</v>
      </c>
      <c r="D165" s="58">
        <f>PRRAS!E175</f>
        <v>3975</v>
      </c>
      <c r="E165" s="58">
        <v>0</v>
      </c>
      <c r="F165" s="58">
        <v>0</v>
      </c>
      <c r="G165" s="59">
        <f t="shared" si="4"/>
        <v>1843.3600000000001</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403039</v>
      </c>
      <c r="D167" s="58">
        <f>PRRAS!E177</f>
        <v>494566</v>
      </c>
      <c r="E167" s="58">
        <v>0</v>
      </c>
      <c r="F167" s="58">
        <v>0</v>
      </c>
      <c r="G167" s="59">
        <f t="shared" si="4"/>
        <v>231100.386</v>
      </c>
      <c r="H167" s="59">
        <f t="shared" si="5"/>
        <v>0</v>
      </c>
      <c r="I167" s="60">
        <v>0</v>
      </c>
    </row>
    <row r="168" spans="1:9" x14ac:dyDescent="0.2">
      <c r="A168" s="57">
        <v>151</v>
      </c>
      <c r="B168" s="58">
        <f>PRRAS!C178</f>
        <v>167</v>
      </c>
      <c r="C168" s="58">
        <f>PRRAS!D178</f>
        <v>40580</v>
      </c>
      <c r="D168" s="58">
        <f>PRRAS!E178</f>
        <v>35933</v>
      </c>
      <c r="E168" s="58">
        <v>0</v>
      </c>
      <c r="F168" s="58">
        <v>0</v>
      </c>
      <c r="G168" s="59">
        <f t="shared" si="4"/>
        <v>18778.482</v>
      </c>
      <c r="H168" s="59">
        <f t="shared" si="5"/>
        <v>0</v>
      </c>
      <c r="I168" s="60">
        <v>0</v>
      </c>
    </row>
    <row r="169" spans="1:9" x14ac:dyDescent="0.2">
      <c r="A169" s="57">
        <v>151</v>
      </c>
      <c r="B169" s="58">
        <f>PRRAS!C179</f>
        <v>168</v>
      </c>
      <c r="C169" s="58">
        <f>PRRAS!D179</f>
        <v>17399</v>
      </c>
      <c r="D169" s="58">
        <f>PRRAS!E179</f>
        <v>26313</v>
      </c>
      <c r="E169" s="58">
        <v>0</v>
      </c>
      <c r="F169" s="58">
        <v>0</v>
      </c>
      <c r="G169" s="59">
        <f t="shared" si="4"/>
        <v>11764.2</v>
      </c>
      <c r="H169" s="59">
        <f t="shared" si="5"/>
        <v>0</v>
      </c>
      <c r="I169" s="60">
        <v>0</v>
      </c>
    </row>
    <row r="170" spans="1:9" x14ac:dyDescent="0.2">
      <c r="A170" s="57">
        <v>151</v>
      </c>
      <c r="B170" s="58">
        <f>PRRAS!C180</f>
        <v>169</v>
      </c>
      <c r="C170" s="58">
        <f>PRRAS!D180</f>
        <v>288992</v>
      </c>
      <c r="D170" s="58">
        <f>PRRAS!E180</f>
        <v>367268</v>
      </c>
      <c r="E170" s="58">
        <v>0</v>
      </c>
      <c r="F170" s="58">
        <v>0</v>
      </c>
      <c r="G170" s="59">
        <f t="shared" si="4"/>
        <v>172976.23200000002</v>
      </c>
      <c r="H170" s="59">
        <f t="shared" si="5"/>
        <v>0</v>
      </c>
      <c r="I170" s="60">
        <v>0</v>
      </c>
    </row>
    <row r="171" spans="1:9" x14ac:dyDescent="0.2">
      <c r="A171" s="57">
        <v>151</v>
      </c>
      <c r="B171" s="58">
        <f>PRRAS!C181</f>
        <v>170</v>
      </c>
      <c r="C171" s="58">
        <f>PRRAS!D181</f>
        <v>39225</v>
      </c>
      <c r="D171" s="58">
        <f>PRRAS!E181</f>
        <v>48076</v>
      </c>
      <c r="E171" s="58">
        <v>0</v>
      </c>
      <c r="F171" s="58">
        <v>0</v>
      </c>
      <c r="G171" s="59">
        <f t="shared" si="4"/>
        <v>23014.09</v>
      </c>
      <c r="H171" s="59">
        <f t="shared" si="5"/>
        <v>0</v>
      </c>
      <c r="I171" s="60">
        <v>0</v>
      </c>
    </row>
    <row r="172" spans="1:9" x14ac:dyDescent="0.2">
      <c r="A172" s="57">
        <v>151</v>
      </c>
      <c r="B172" s="58">
        <f>PRRAS!C182</f>
        <v>171</v>
      </c>
      <c r="C172" s="58">
        <f>PRRAS!D182</f>
        <v>13986</v>
      </c>
      <c r="D172" s="58">
        <f>PRRAS!E182</f>
        <v>13996</v>
      </c>
      <c r="E172" s="58">
        <v>0</v>
      </c>
      <c r="F172" s="58">
        <v>0</v>
      </c>
      <c r="G172" s="59">
        <f t="shared" si="4"/>
        <v>7178.2380000000003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2857</v>
      </c>
      <c r="D174" s="58">
        <f>PRRAS!E184</f>
        <v>2980</v>
      </c>
      <c r="E174" s="58">
        <v>0</v>
      </c>
      <c r="F174" s="58">
        <v>0</v>
      </c>
      <c r="G174" s="59">
        <f t="shared" si="4"/>
        <v>1525.3409999999999</v>
      </c>
      <c r="H174" s="59">
        <f t="shared" si="5"/>
        <v>0</v>
      </c>
      <c r="I174" s="60">
        <v>0</v>
      </c>
    </row>
    <row r="175" spans="1:9" x14ac:dyDescent="0.2">
      <c r="A175" s="57">
        <v>151</v>
      </c>
      <c r="B175" s="58">
        <f>PRRAS!C185</f>
        <v>174</v>
      </c>
      <c r="C175" s="58">
        <f>PRRAS!D185</f>
        <v>765094</v>
      </c>
      <c r="D175" s="58">
        <f>PRRAS!E185</f>
        <v>1453091</v>
      </c>
      <c r="E175" s="58">
        <v>0</v>
      </c>
      <c r="F175" s="58">
        <v>0</v>
      </c>
      <c r="G175" s="59">
        <f t="shared" si="4"/>
        <v>638802.02399999998</v>
      </c>
      <c r="H175" s="59">
        <f t="shared" si="5"/>
        <v>0</v>
      </c>
      <c r="I175" s="60">
        <v>0</v>
      </c>
    </row>
    <row r="176" spans="1:9" x14ac:dyDescent="0.2">
      <c r="A176" s="57">
        <v>151</v>
      </c>
      <c r="B176" s="58">
        <f>PRRAS!C186</f>
        <v>175</v>
      </c>
      <c r="C176" s="58">
        <f>PRRAS!D186</f>
        <v>33850</v>
      </c>
      <c r="D176" s="58">
        <f>PRRAS!E186</f>
        <v>27503</v>
      </c>
      <c r="E176" s="58">
        <v>0</v>
      </c>
      <c r="F176" s="58">
        <v>0</v>
      </c>
      <c r="G176" s="59">
        <f t="shared" si="4"/>
        <v>15549.8</v>
      </c>
      <c r="H176" s="59">
        <f t="shared" si="5"/>
        <v>0</v>
      </c>
      <c r="I176" s="60">
        <v>0</v>
      </c>
    </row>
    <row r="177" spans="1:9" x14ac:dyDescent="0.2">
      <c r="A177" s="57">
        <v>151</v>
      </c>
      <c r="B177" s="58">
        <f>PRRAS!C187</f>
        <v>176</v>
      </c>
      <c r="C177" s="58">
        <f>PRRAS!D187</f>
        <v>42752</v>
      </c>
      <c r="D177" s="58">
        <f>PRRAS!E187</f>
        <v>71932</v>
      </c>
      <c r="E177" s="58">
        <v>0</v>
      </c>
      <c r="F177" s="58">
        <v>0</v>
      </c>
      <c r="G177" s="59">
        <f t="shared" si="4"/>
        <v>32844.415999999997</v>
      </c>
      <c r="H177" s="59">
        <f t="shared" si="5"/>
        <v>0</v>
      </c>
      <c r="I177" s="60">
        <v>0</v>
      </c>
    </row>
    <row r="178" spans="1:9" x14ac:dyDescent="0.2">
      <c r="A178" s="57">
        <v>151</v>
      </c>
      <c r="B178" s="58">
        <f>PRRAS!C188</f>
        <v>177</v>
      </c>
      <c r="C178" s="58">
        <f>PRRAS!D188</f>
        <v>28188</v>
      </c>
      <c r="D178" s="58">
        <f>PRRAS!E188</f>
        <v>28688</v>
      </c>
      <c r="E178" s="58">
        <v>0</v>
      </c>
      <c r="F178" s="58">
        <v>0</v>
      </c>
      <c r="G178" s="59">
        <f t="shared" si="4"/>
        <v>15144.828</v>
      </c>
      <c r="H178" s="59">
        <f t="shared" si="5"/>
        <v>0</v>
      </c>
      <c r="I178" s="60">
        <v>0</v>
      </c>
    </row>
    <row r="179" spans="1:9" x14ac:dyDescent="0.2">
      <c r="A179" s="57">
        <v>151</v>
      </c>
      <c r="B179" s="58">
        <f>PRRAS!C189</f>
        <v>178</v>
      </c>
      <c r="C179" s="58">
        <f>PRRAS!D189</f>
        <v>42369</v>
      </c>
      <c r="D179" s="58">
        <f>PRRAS!E189</f>
        <v>24670</v>
      </c>
      <c r="E179" s="58">
        <v>0</v>
      </c>
      <c r="F179" s="58">
        <v>0</v>
      </c>
      <c r="G179" s="59">
        <f t="shared" si="4"/>
        <v>16324.201999999999</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280</v>
      </c>
      <c r="D181" s="58">
        <f>PRRAS!E191</f>
        <v>2079</v>
      </c>
      <c r="E181" s="58">
        <v>0</v>
      </c>
      <c r="F181" s="58">
        <v>0</v>
      </c>
      <c r="G181" s="59">
        <f t="shared" si="4"/>
        <v>798.83999999999992</v>
      </c>
      <c r="H181" s="59">
        <f t="shared" si="5"/>
        <v>0</v>
      </c>
      <c r="I181" s="60">
        <v>0</v>
      </c>
    </row>
    <row r="182" spans="1:9" x14ac:dyDescent="0.2">
      <c r="A182" s="57">
        <v>151</v>
      </c>
      <c r="B182" s="58">
        <f>PRRAS!C192</f>
        <v>181</v>
      </c>
      <c r="C182" s="58">
        <f>PRRAS!D192</f>
        <v>436579</v>
      </c>
      <c r="D182" s="58">
        <f>PRRAS!E192</f>
        <v>1044374</v>
      </c>
      <c r="E182" s="58">
        <v>0</v>
      </c>
      <c r="F182" s="58">
        <v>0</v>
      </c>
      <c r="G182" s="59">
        <f t="shared" si="4"/>
        <v>457084.18699999998</v>
      </c>
      <c r="H182" s="59">
        <f t="shared" si="5"/>
        <v>0</v>
      </c>
      <c r="I182" s="60">
        <v>0</v>
      </c>
    </row>
    <row r="183" spans="1:9" x14ac:dyDescent="0.2">
      <c r="A183" s="57">
        <v>151</v>
      </c>
      <c r="B183" s="58">
        <f>PRRAS!C193</f>
        <v>182</v>
      </c>
      <c r="C183" s="58">
        <f>PRRAS!D193</f>
        <v>5000</v>
      </c>
      <c r="D183" s="58">
        <f>PRRAS!E193</f>
        <v>5000</v>
      </c>
      <c r="E183" s="58">
        <v>0</v>
      </c>
      <c r="F183" s="58">
        <v>0</v>
      </c>
      <c r="G183" s="59">
        <f t="shared" si="4"/>
        <v>2730</v>
      </c>
      <c r="H183" s="59">
        <f t="shared" si="5"/>
        <v>0</v>
      </c>
      <c r="I183" s="60">
        <v>0</v>
      </c>
    </row>
    <row r="184" spans="1:9" x14ac:dyDescent="0.2">
      <c r="A184" s="57">
        <v>151</v>
      </c>
      <c r="B184" s="58">
        <f>PRRAS!C194</f>
        <v>183</v>
      </c>
      <c r="C184" s="58">
        <f>PRRAS!D194</f>
        <v>176076</v>
      </c>
      <c r="D184" s="58">
        <f>PRRAS!E194</f>
        <v>248845</v>
      </c>
      <c r="E184" s="58">
        <v>0</v>
      </c>
      <c r="F184" s="58">
        <v>0</v>
      </c>
      <c r="G184" s="59">
        <f t="shared" si="4"/>
        <v>123299.178</v>
      </c>
      <c r="H184" s="59">
        <f t="shared" si="5"/>
        <v>0</v>
      </c>
      <c r="I184" s="60">
        <v>0</v>
      </c>
    </row>
    <row r="185" spans="1:9" x14ac:dyDescent="0.2">
      <c r="A185" s="57">
        <v>151</v>
      </c>
      <c r="B185" s="58">
        <f>PRRAS!C195</f>
        <v>184</v>
      </c>
      <c r="C185" s="58">
        <f>PRRAS!D195</f>
        <v>0</v>
      </c>
      <c r="D185" s="58">
        <f>PRRAS!E195</f>
        <v>67505</v>
      </c>
      <c r="E185" s="58">
        <v>0</v>
      </c>
      <c r="F185" s="58">
        <v>0</v>
      </c>
      <c r="G185" s="59">
        <f t="shared" si="4"/>
        <v>24841.84</v>
      </c>
      <c r="H185" s="59">
        <f t="shared" si="5"/>
        <v>0</v>
      </c>
      <c r="I185" s="60">
        <v>0</v>
      </c>
    </row>
    <row r="186" spans="1:9" x14ac:dyDescent="0.2">
      <c r="A186" s="57">
        <v>151</v>
      </c>
      <c r="B186" s="58">
        <f>PRRAS!C196</f>
        <v>185</v>
      </c>
      <c r="C186" s="58">
        <f>PRRAS!D196</f>
        <v>858256</v>
      </c>
      <c r="D186" s="58">
        <f>PRRAS!E196</f>
        <v>133101</v>
      </c>
      <c r="E186" s="58">
        <v>0</v>
      </c>
      <c r="F186" s="58">
        <v>0</v>
      </c>
      <c r="G186" s="59">
        <f t="shared" si="4"/>
        <v>208024.73</v>
      </c>
      <c r="H186" s="59">
        <f t="shared" si="5"/>
        <v>0</v>
      </c>
      <c r="I186" s="60">
        <v>0</v>
      </c>
    </row>
    <row r="187" spans="1:9" x14ac:dyDescent="0.2">
      <c r="A187" s="57">
        <v>151</v>
      </c>
      <c r="B187" s="58">
        <f>PRRAS!C197</f>
        <v>186</v>
      </c>
      <c r="C187" s="58">
        <f>PRRAS!D197</f>
        <v>44921</v>
      </c>
      <c r="D187" s="58">
        <f>PRRAS!E197</f>
        <v>49005</v>
      </c>
      <c r="E187" s="58">
        <v>0</v>
      </c>
      <c r="F187" s="58">
        <v>0</v>
      </c>
      <c r="G187" s="59">
        <f t="shared" si="4"/>
        <v>26585.166000000001</v>
      </c>
      <c r="H187" s="59">
        <f t="shared" si="5"/>
        <v>0</v>
      </c>
      <c r="I187" s="60">
        <v>0</v>
      </c>
    </row>
    <row r="188" spans="1:9" x14ac:dyDescent="0.2">
      <c r="A188" s="57">
        <v>151</v>
      </c>
      <c r="B188" s="58">
        <f>PRRAS!C198</f>
        <v>187</v>
      </c>
      <c r="C188" s="58">
        <f>PRRAS!D198</f>
        <v>6191</v>
      </c>
      <c r="D188" s="58">
        <f>PRRAS!E198</f>
        <v>6413</v>
      </c>
      <c r="E188" s="58">
        <v>0</v>
      </c>
      <c r="F188" s="58">
        <v>0</v>
      </c>
      <c r="G188" s="59">
        <f t="shared" si="4"/>
        <v>3556.1790000000001</v>
      </c>
      <c r="H188" s="59">
        <f t="shared" si="5"/>
        <v>0</v>
      </c>
      <c r="I188" s="60">
        <v>0</v>
      </c>
    </row>
    <row r="189" spans="1:9" x14ac:dyDescent="0.2">
      <c r="A189" s="57">
        <v>151</v>
      </c>
      <c r="B189" s="58">
        <f>PRRAS!C199</f>
        <v>188</v>
      </c>
      <c r="C189" s="58">
        <f>PRRAS!D199</f>
        <v>17860</v>
      </c>
      <c r="D189" s="58">
        <f>PRRAS!E199</f>
        <v>71490</v>
      </c>
      <c r="E189" s="58">
        <v>0</v>
      </c>
      <c r="F189" s="58">
        <v>0</v>
      </c>
      <c r="G189" s="59">
        <f t="shared" si="4"/>
        <v>30237.919999999998</v>
      </c>
      <c r="H189" s="59">
        <f t="shared" si="5"/>
        <v>0</v>
      </c>
      <c r="I189" s="60">
        <v>0</v>
      </c>
    </row>
    <row r="190" spans="1:9" x14ac:dyDescent="0.2">
      <c r="A190" s="57">
        <v>151</v>
      </c>
      <c r="B190" s="58">
        <f>PRRAS!C200</f>
        <v>189</v>
      </c>
      <c r="C190" s="58">
        <f>PRRAS!D200</f>
        <v>200</v>
      </c>
      <c r="D190" s="58">
        <f>PRRAS!E200</f>
        <v>400</v>
      </c>
      <c r="E190" s="58">
        <v>0</v>
      </c>
      <c r="F190" s="58">
        <v>0</v>
      </c>
      <c r="G190" s="59">
        <f t="shared" si="4"/>
        <v>189</v>
      </c>
      <c r="H190" s="59">
        <f t="shared" si="5"/>
        <v>0</v>
      </c>
      <c r="I190" s="60">
        <v>0</v>
      </c>
    </row>
    <row r="191" spans="1:9" x14ac:dyDescent="0.2">
      <c r="A191" s="57">
        <v>151</v>
      </c>
      <c r="B191" s="58">
        <f>PRRAS!C201</f>
        <v>190</v>
      </c>
      <c r="C191" s="58">
        <f>PRRAS!D201</f>
        <v>2923</v>
      </c>
      <c r="D191" s="58">
        <f>PRRAS!E201</f>
        <v>3793</v>
      </c>
      <c r="E191" s="58">
        <v>0</v>
      </c>
      <c r="F191" s="58">
        <v>0</v>
      </c>
      <c r="G191" s="59">
        <f t="shared" si="4"/>
        <v>1996.71</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786161</v>
      </c>
      <c r="D193" s="58">
        <f>PRRAS!E203</f>
        <v>2000</v>
      </c>
      <c r="E193" s="58">
        <v>0</v>
      </c>
      <c r="F193" s="58">
        <v>0</v>
      </c>
      <c r="G193" s="59">
        <f t="shared" si="4"/>
        <v>151710.91200000001</v>
      </c>
      <c r="H193" s="59">
        <f t="shared" si="5"/>
        <v>0</v>
      </c>
      <c r="I193" s="60">
        <v>0</v>
      </c>
    </row>
    <row r="194" spans="1:9" x14ac:dyDescent="0.2">
      <c r="A194" s="57">
        <v>151</v>
      </c>
      <c r="B194" s="58">
        <f>PRRAS!C204</f>
        <v>193</v>
      </c>
      <c r="C194" s="58">
        <f>PRRAS!D204</f>
        <v>0</v>
      </c>
      <c r="D194" s="58">
        <f>PRRAS!E204</f>
        <v>0</v>
      </c>
      <c r="E194" s="58">
        <v>0</v>
      </c>
      <c r="F194" s="58">
        <v>0</v>
      </c>
      <c r="G194" s="59">
        <f t="shared" ref="G194:G257" si="6">(B194/1000)*(C194*1+D194*2)</f>
        <v>0</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0</v>
      </c>
      <c r="D208" s="58">
        <f>PRRAS!E218</f>
        <v>0</v>
      </c>
      <c r="E208" s="58">
        <v>0</v>
      </c>
      <c r="F208" s="58">
        <v>0</v>
      </c>
      <c r="G208" s="59">
        <f t="shared" si="6"/>
        <v>0</v>
      </c>
      <c r="H208" s="59">
        <f t="shared" si="7"/>
        <v>0</v>
      </c>
      <c r="I208" s="60">
        <v>0</v>
      </c>
    </row>
    <row r="209" spans="1:9" x14ac:dyDescent="0.2">
      <c r="A209" s="57">
        <v>151</v>
      </c>
      <c r="B209" s="58">
        <f>PRRAS!C219</f>
        <v>208</v>
      </c>
      <c r="C209" s="58">
        <f>PRRAS!D219</f>
        <v>0</v>
      </c>
      <c r="D209" s="58">
        <f>PRRAS!E219</f>
        <v>0</v>
      </c>
      <c r="E209" s="58">
        <v>0</v>
      </c>
      <c r="F209" s="58">
        <v>0</v>
      </c>
      <c r="G209" s="59">
        <f t="shared" si="6"/>
        <v>0</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2816782</v>
      </c>
      <c r="D282" s="58">
        <f>PRRAS!E292</f>
        <v>2998351</v>
      </c>
      <c r="E282" s="58">
        <v>0</v>
      </c>
      <c r="F282" s="58">
        <v>0</v>
      </c>
      <c r="G282" s="59">
        <f t="shared" si="8"/>
        <v>2476589.0040000002</v>
      </c>
      <c r="H282" s="59">
        <f t="shared" si="9"/>
        <v>0</v>
      </c>
      <c r="I282" s="60">
        <v>0</v>
      </c>
    </row>
    <row r="283" spans="1:9" x14ac:dyDescent="0.2">
      <c r="A283" s="57">
        <v>151</v>
      </c>
      <c r="B283" s="58">
        <f>PRRAS!C293</f>
        <v>282</v>
      </c>
      <c r="C283" s="58">
        <f>PRRAS!D293</f>
        <v>504614</v>
      </c>
      <c r="D283" s="58">
        <f>PRRAS!E293</f>
        <v>247522</v>
      </c>
      <c r="E283" s="58">
        <v>0</v>
      </c>
      <c r="F283" s="58">
        <v>0</v>
      </c>
      <c r="G283" s="59">
        <f t="shared" si="8"/>
        <v>281903.55599999998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500965</v>
      </c>
      <c r="D342" s="58">
        <f>PRRAS!E353</f>
        <v>239671</v>
      </c>
      <c r="E342" s="58">
        <v>0</v>
      </c>
      <c r="F342" s="58">
        <v>0</v>
      </c>
      <c r="G342" s="59">
        <f t="shared" si="10"/>
        <v>334284.68700000003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53534</v>
      </c>
      <c r="D355" s="58">
        <f>PRRAS!E366</f>
        <v>90325</v>
      </c>
      <c r="E355" s="58">
        <v>0</v>
      </c>
      <c r="F355" s="58">
        <v>0</v>
      </c>
      <c r="G355" s="59">
        <f t="shared" si="10"/>
        <v>82901.135999999999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43564</v>
      </c>
      <c r="D361" s="58">
        <f>PRRAS!E372</f>
        <v>80601</v>
      </c>
      <c r="E361" s="58">
        <v>0</v>
      </c>
      <c r="F361" s="58">
        <v>0</v>
      </c>
      <c r="G361" s="59">
        <f t="shared" si="10"/>
        <v>73715.759999999995</v>
      </c>
      <c r="H361" s="59">
        <f t="shared" si="11"/>
        <v>0</v>
      </c>
      <c r="I361" s="60">
        <v>0</v>
      </c>
    </row>
    <row r="362" spans="1:9" x14ac:dyDescent="0.2">
      <c r="A362" s="57">
        <v>151</v>
      </c>
      <c r="B362" s="58">
        <f>PRRAS!C373</f>
        <v>361</v>
      </c>
      <c r="C362" s="58">
        <f>PRRAS!D373</f>
        <v>12244</v>
      </c>
      <c r="D362" s="58">
        <f>PRRAS!E373</f>
        <v>20969</v>
      </c>
      <c r="E362" s="58">
        <v>0</v>
      </c>
      <c r="F362" s="58">
        <v>0</v>
      </c>
      <c r="G362" s="59">
        <f t="shared" si="10"/>
        <v>19559.702000000001</v>
      </c>
      <c r="H362" s="59">
        <f t="shared" si="11"/>
        <v>0</v>
      </c>
      <c r="I362" s="60">
        <v>0</v>
      </c>
    </row>
    <row r="363" spans="1:9" x14ac:dyDescent="0.2">
      <c r="A363" s="57">
        <v>151</v>
      </c>
      <c r="B363" s="58">
        <f>PRRAS!C374</f>
        <v>362</v>
      </c>
      <c r="C363" s="58">
        <f>PRRAS!D374</f>
        <v>456</v>
      </c>
      <c r="D363" s="58">
        <f>PRRAS!E374</f>
        <v>2496</v>
      </c>
      <c r="E363" s="58">
        <v>0</v>
      </c>
      <c r="F363" s="58">
        <v>0</v>
      </c>
      <c r="G363" s="59">
        <f t="shared" si="10"/>
        <v>1972.1759999999999</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30864</v>
      </c>
      <c r="D368" s="58">
        <f>PRRAS!E379</f>
        <v>57136</v>
      </c>
      <c r="E368" s="58">
        <v>0</v>
      </c>
      <c r="F368" s="58">
        <v>0</v>
      </c>
      <c r="G368" s="59">
        <f t="shared" si="10"/>
        <v>53264.911999999997</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9970</v>
      </c>
      <c r="D383" s="58">
        <f>PRRAS!E394</f>
        <v>9724</v>
      </c>
      <c r="E383" s="58">
        <v>0</v>
      </c>
      <c r="F383" s="58">
        <v>0</v>
      </c>
      <c r="G383" s="59">
        <f t="shared" si="10"/>
        <v>11237.675999999999</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9970</v>
      </c>
      <c r="D385" s="58">
        <f>PRRAS!E396</f>
        <v>9724</v>
      </c>
      <c r="E385" s="58">
        <v>0</v>
      </c>
      <c r="F385" s="58">
        <v>0</v>
      </c>
      <c r="G385" s="59">
        <f t="shared" si="10"/>
        <v>11296.512000000001</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447431</v>
      </c>
      <c r="D394" s="58">
        <f>PRRAS!E405</f>
        <v>149346</v>
      </c>
      <c r="E394" s="58">
        <v>0</v>
      </c>
      <c r="F394" s="58">
        <v>0</v>
      </c>
      <c r="G394" s="59">
        <f t="shared" si="12"/>
        <v>293226.33900000004</v>
      </c>
      <c r="H394" s="59">
        <f t="shared" si="13"/>
        <v>0</v>
      </c>
      <c r="I394" s="60">
        <v>0</v>
      </c>
    </row>
    <row r="395" spans="1:9" x14ac:dyDescent="0.2">
      <c r="A395" s="57">
        <v>151</v>
      </c>
      <c r="B395" s="58">
        <f>PRRAS!C406</f>
        <v>394</v>
      </c>
      <c r="C395" s="58">
        <f>PRRAS!D406</f>
        <v>447431</v>
      </c>
      <c r="D395" s="58">
        <f>PRRAS!E406</f>
        <v>149346</v>
      </c>
      <c r="E395" s="58">
        <v>0</v>
      </c>
      <c r="F395" s="58">
        <v>0</v>
      </c>
      <c r="G395" s="59">
        <f t="shared" si="12"/>
        <v>293972.462</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500965</v>
      </c>
      <c r="D400" s="58">
        <f>PRRAS!E411</f>
        <v>239671</v>
      </c>
      <c r="E400" s="58">
        <v>0</v>
      </c>
      <c r="F400" s="58">
        <v>0</v>
      </c>
      <c r="G400" s="59">
        <f t="shared" si="12"/>
        <v>391142.49300000002</v>
      </c>
      <c r="H400" s="59">
        <f t="shared" si="13"/>
        <v>0</v>
      </c>
      <c r="I400" s="60">
        <v>0</v>
      </c>
    </row>
    <row r="401" spans="1:9" x14ac:dyDescent="0.2">
      <c r="A401" s="57">
        <v>151</v>
      </c>
      <c r="B401" s="58">
        <f>PRRAS!C412</f>
        <v>400</v>
      </c>
      <c r="C401" s="58">
        <f>PRRAS!D412</f>
        <v>20842</v>
      </c>
      <c r="D401" s="58">
        <f>PRRAS!E412</f>
        <v>24491</v>
      </c>
      <c r="E401" s="58">
        <v>0</v>
      </c>
      <c r="F401" s="58">
        <v>0</v>
      </c>
      <c r="G401" s="59">
        <f t="shared" si="12"/>
        <v>27929.600000000002</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3321396</v>
      </c>
      <c r="D404" s="58">
        <f>PRRAS!E415</f>
        <v>3245873</v>
      </c>
      <c r="E404" s="58">
        <v>0</v>
      </c>
      <c r="F404" s="58">
        <v>0</v>
      </c>
      <c r="G404" s="59">
        <f t="shared" si="12"/>
        <v>3954696.2260000003</v>
      </c>
      <c r="H404" s="59">
        <f t="shared" si="13"/>
        <v>0</v>
      </c>
      <c r="I404" s="60">
        <v>0</v>
      </c>
    </row>
    <row r="405" spans="1:9" x14ac:dyDescent="0.2">
      <c r="A405" s="57">
        <v>151</v>
      </c>
      <c r="B405" s="58">
        <f>PRRAS!C416</f>
        <v>404</v>
      </c>
      <c r="C405" s="58">
        <f>PRRAS!D416</f>
        <v>3317747</v>
      </c>
      <c r="D405" s="58">
        <f>PRRAS!E416</f>
        <v>3238022</v>
      </c>
      <c r="E405" s="58">
        <v>0</v>
      </c>
      <c r="F405" s="58">
        <v>0</v>
      </c>
      <c r="G405" s="59">
        <f t="shared" si="12"/>
        <v>3956691.5640000002</v>
      </c>
      <c r="H405" s="59">
        <f t="shared" si="13"/>
        <v>0</v>
      </c>
      <c r="I405" s="60">
        <v>0</v>
      </c>
    </row>
    <row r="406" spans="1:9" x14ac:dyDescent="0.2">
      <c r="A406" s="57">
        <v>151</v>
      </c>
      <c r="B406" s="58">
        <f>PRRAS!C417</f>
        <v>405</v>
      </c>
      <c r="C406" s="58">
        <f>PRRAS!D417</f>
        <v>3649</v>
      </c>
      <c r="D406" s="58">
        <f>PRRAS!E417</f>
        <v>7851</v>
      </c>
      <c r="E406" s="58">
        <v>0</v>
      </c>
      <c r="F406" s="58">
        <v>0</v>
      </c>
      <c r="G406" s="59">
        <f t="shared" si="12"/>
        <v>7837.1550000000007</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20842</v>
      </c>
      <c r="D408" s="58">
        <f>PRRAS!E419</f>
        <v>24491</v>
      </c>
      <c r="E408" s="58">
        <v>0</v>
      </c>
      <c r="F408" s="58">
        <v>0</v>
      </c>
      <c r="G408" s="59">
        <f t="shared" si="12"/>
        <v>28418.367999999999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3321396</v>
      </c>
      <c r="D630" s="58">
        <f>PRRAS!E642</f>
        <v>3245873</v>
      </c>
      <c r="E630" s="58">
        <v>0</v>
      </c>
      <c r="F630" s="58">
        <v>0</v>
      </c>
      <c r="G630" s="59">
        <f t="shared" si="18"/>
        <v>6172466.318</v>
      </c>
      <c r="H630" s="59">
        <f t="shared" si="19"/>
        <v>0</v>
      </c>
      <c r="I630" s="60">
        <v>0</v>
      </c>
    </row>
    <row r="631" spans="1:9" x14ac:dyDescent="0.2">
      <c r="A631" s="57">
        <v>151</v>
      </c>
      <c r="B631" s="58">
        <f>PRRAS!C643</f>
        <v>630</v>
      </c>
      <c r="C631" s="58">
        <f>PRRAS!D643</f>
        <v>3317747</v>
      </c>
      <c r="D631" s="58">
        <f>PRRAS!E643</f>
        <v>3238022</v>
      </c>
      <c r="E631" s="58">
        <v>0</v>
      </c>
      <c r="F631" s="58">
        <v>0</v>
      </c>
      <c r="G631" s="59">
        <f t="shared" si="18"/>
        <v>6170088.3300000001</v>
      </c>
      <c r="H631" s="59">
        <f t="shared" si="19"/>
        <v>0</v>
      </c>
      <c r="I631" s="60">
        <v>0</v>
      </c>
    </row>
    <row r="632" spans="1:9" x14ac:dyDescent="0.2">
      <c r="A632" s="57">
        <v>151</v>
      </c>
      <c r="B632" s="58">
        <f>PRRAS!C644</f>
        <v>631</v>
      </c>
      <c r="C632" s="58">
        <f>PRRAS!D644</f>
        <v>3649</v>
      </c>
      <c r="D632" s="58">
        <f>PRRAS!E644</f>
        <v>7851</v>
      </c>
      <c r="E632" s="58">
        <v>0</v>
      </c>
      <c r="F632" s="58">
        <v>0</v>
      </c>
      <c r="G632" s="59">
        <f t="shared" si="18"/>
        <v>12210.481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20842</v>
      </c>
      <c r="D634" s="58">
        <f>PRRAS!E646</f>
        <v>24491</v>
      </c>
      <c r="E634" s="58">
        <v>0</v>
      </c>
      <c r="F634" s="58">
        <v>0</v>
      </c>
      <c r="G634" s="59">
        <f t="shared" si="18"/>
        <v>44198.591999999997</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24491</v>
      </c>
      <c r="D636" s="58">
        <f>PRRAS!E648</f>
        <v>32342</v>
      </c>
      <c r="E636" s="58">
        <v>0</v>
      </c>
      <c r="F636" s="58">
        <v>0</v>
      </c>
      <c r="G636" s="59">
        <f t="shared" si="18"/>
        <v>56626.125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128806</v>
      </c>
      <c r="D639" s="58">
        <f>PRRAS!E652</f>
        <v>94792</v>
      </c>
      <c r="E639" s="58">
        <v>0</v>
      </c>
      <c r="F639" s="58">
        <v>0</v>
      </c>
      <c r="G639" s="59">
        <f t="shared" si="18"/>
        <v>203132.82</v>
      </c>
      <c r="H639" s="59">
        <f t="shared" si="19"/>
        <v>0</v>
      </c>
      <c r="I639" s="60">
        <v>0</v>
      </c>
    </row>
    <row r="640" spans="1:9" x14ac:dyDescent="0.2">
      <c r="A640" s="57">
        <v>151</v>
      </c>
      <c r="B640" s="58">
        <f>PRRAS!C653</f>
        <v>639</v>
      </c>
      <c r="C640" s="58">
        <f>PRRAS!D653</f>
        <v>2380375</v>
      </c>
      <c r="D640" s="58">
        <f>PRRAS!E653</f>
        <v>2146682</v>
      </c>
      <c r="E640" s="58">
        <v>0</v>
      </c>
      <c r="F640" s="58">
        <v>0</v>
      </c>
      <c r="G640" s="59">
        <f t="shared" si="18"/>
        <v>4264519.2209999999</v>
      </c>
      <c r="H640" s="59">
        <f t="shared" si="19"/>
        <v>0</v>
      </c>
      <c r="I640" s="60">
        <v>0</v>
      </c>
    </row>
    <row r="641" spans="1:9" x14ac:dyDescent="0.2">
      <c r="A641" s="57">
        <v>151</v>
      </c>
      <c r="B641" s="58">
        <f>PRRAS!C654</f>
        <v>640</v>
      </c>
      <c r="C641" s="58">
        <f>PRRAS!D654</f>
        <v>2414389</v>
      </c>
      <c r="D641" s="58">
        <f>PRRAS!E654</f>
        <v>2133785</v>
      </c>
      <c r="E641" s="58">
        <v>0</v>
      </c>
      <c r="F641" s="58">
        <v>0</v>
      </c>
      <c r="G641" s="59">
        <f t="shared" si="18"/>
        <v>4276453.76</v>
      </c>
      <c r="H641" s="59">
        <f t="shared" si="19"/>
        <v>0</v>
      </c>
      <c r="I641" s="60">
        <v>0</v>
      </c>
    </row>
    <row r="642" spans="1:9" x14ac:dyDescent="0.2">
      <c r="A642" s="57">
        <v>151</v>
      </c>
      <c r="B642" s="58">
        <f>PRRAS!C655</f>
        <v>641</v>
      </c>
      <c r="C642" s="58">
        <f>PRRAS!D655</f>
        <v>94792</v>
      </c>
      <c r="D642" s="58">
        <f>PRRAS!E655</f>
        <v>107689</v>
      </c>
      <c r="E642" s="58">
        <v>0</v>
      </c>
      <c r="F642" s="58">
        <v>0</v>
      </c>
      <c r="G642" s="59">
        <f t="shared" ref="G642:G705" si="20">(B642/1000)*(C642*1+D642*2)</f>
        <v>198818.97</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7</v>
      </c>
      <c r="D644" s="58">
        <f>PRRAS!E657</f>
        <v>9</v>
      </c>
      <c r="E644" s="58">
        <v>0</v>
      </c>
      <c r="F644" s="58">
        <v>0</v>
      </c>
      <c r="G644" s="59">
        <f t="shared" si="20"/>
        <v>16.074999999999999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7</v>
      </c>
      <c r="D646" s="58">
        <f>PRRAS!E659</f>
        <v>9</v>
      </c>
      <c r="E646" s="58">
        <v>0</v>
      </c>
      <c r="F646" s="58">
        <v>0</v>
      </c>
      <c r="G646" s="59">
        <f t="shared" si="20"/>
        <v>16.125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160000</v>
      </c>
      <c r="D665" s="58">
        <f>PRRAS!E678</f>
        <v>155000</v>
      </c>
      <c r="E665" s="58">
        <v>0</v>
      </c>
      <c r="F665" s="58">
        <v>0</v>
      </c>
      <c r="G665" s="59">
        <f t="shared" si="20"/>
        <v>312080</v>
      </c>
      <c r="H665" s="59">
        <f t="shared" si="21"/>
        <v>0</v>
      </c>
      <c r="I665" s="60">
        <v>0</v>
      </c>
    </row>
    <row r="666" spans="1:9" x14ac:dyDescent="0.2">
      <c r="A666" s="57">
        <v>151</v>
      </c>
      <c r="B666" s="58">
        <f>PRRAS!C679</f>
        <v>665</v>
      </c>
      <c r="C666" s="58">
        <f>PRRAS!D679</f>
        <v>11685</v>
      </c>
      <c r="D666" s="58">
        <f>PRRAS!E679</f>
        <v>14272</v>
      </c>
      <c r="E666" s="58">
        <v>0</v>
      </c>
      <c r="F666" s="58">
        <v>0</v>
      </c>
      <c r="G666" s="59">
        <f t="shared" si="20"/>
        <v>26752.285</v>
      </c>
      <c r="H666" s="59">
        <f t="shared" si="21"/>
        <v>0</v>
      </c>
      <c r="I666" s="60">
        <v>0</v>
      </c>
    </row>
    <row r="667" spans="1:9" x14ac:dyDescent="0.2">
      <c r="A667" s="57">
        <v>151</v>
      </c>
      <c r="B667" s="58">
        <f>PRRAS!C680</f>
        <v>666</v>
      </c>
      <c r="C667" s="58">
        <f>PRRAS!D680</f>
        <v>300000</v>
      </c>
      <c r="D667" s="58">
        <f>PRRAS!E680</f>
        <v>0</v>
      </c>
      <c r="E667" s="58">
        <v>0</v>
      </c>
      <c r="F667" s="58">
        <v>0</v>
      </c>
      <c r="G667" s="59">
        <f t="shared" si="20"/>
        <v>199800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338405</v>
      </c>
      <c r="D685" s="58">
        <f>PRRAS!E698</f>
        <v>405420</v>
      </c>
      <c r="E685" s="58">
        <v>0</v>
      </c>
      <c r="F685" s="58">
        <v>0</v>
      </c>
      <c r="G685" s="59">
        <f t="shared" si="20"/>
        <v>786083.58000000007</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9978</v>
      </c>
      <c r="D688" s="58">
        <f>PRRAS!E701</f>
        <v>0</v>
      </c>
      <c r="E688" s="58">
        <v>0</v>
      </c>
      <c r="F688" s="58">
        <v>0</v>
      </c>
      <c r="G688" s="59">
        <f t="shared" si="20"/>
        <v>6854.8860000000004</v>
      </c>
      <c r="H688" s="59">
        <f t="shared" si="21"/>
        <v>0</v>
      </c>
      <c r="I688" s="60">
        <v>0</v>
      </c>
    </row>
    <row r="689" spans="1:9" x14ac:dyDescent="0.2">
      <c r="A689" s="57">
        <v>151</v>
      </c>
      <c r="B689" s="58">
        <f>PRRAS!C702</f>
        <v>688</v>
      </c>
      <c r="C689" s="58">
        <f>PRRAS!D702</f>
        <v>0</v>
      </c>
      <c r="D689" s="58">
        <f>PRRAS!E702</f>
        <v>41147</v>
      </c>
      <c r="E689" s="58">
        <v>0</v>
      </c>
      <c r="F689" s="58">
        <v>0</v>
      </c>
      <c r="G689" s="59">
        <f t="shared" si="20"/>
        <v>56618.271999999997</v>
      </c>
      <c r="H689" s="59">
        <f t="shared" si="21"/>
        <v>0</v>
      </c>
      <c r="I689" s="60">
        <v>0</v>
      </c>
    </row>
    <row r="690" spans="1:9" x14ac:dyDescent="0.2">
      <c r="A690" s="57">
        <v>151</v>
      </c>
      <c r="B690" s="58">
        <f>PRRAS!C703</f>
        <v>689</v>
      </c>
      <c r="C690" s="58">
        <f>PRRAS!D703</f>
        <v>13321</v>
      </c>
      <c r="D690" s="58">
        <f>PRRAS!E703</f>
        <v>13300</v>
      </c>
      <c r="E690" s="58">
        <v>0</v>
      </c>
      <c r="F690" s="58">
        <v>0</v>
      </c>
      <c r="G690" s="59">
        <f t="shared" si="20"/>
        <v>27505.569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280</v>
      </c>
      <c r="D692" s="58">
        <f>PRRAS!E705</f>
        <v>2079</v>
      </c>
      <c r="E692" s="58">
        <v>0</v>
      </c>
      <c r="F692" s="58">
        <v>0</v>
      </c>
      <c r="G692" s="59">
        <f t="shared" si="20"/>
        <v>3066.6579999999999</v>
      </c>
      <c r="H692" s="59">
        <f t="shared" si="21"/>
        <v>0</v>
      </c>
      <c r="I692" s="60">
        <v>0</v>
      </c>
    </row>
    <row r="693" spans="1:9" x14ac:dyDescent="0.2">
      <c r="A693" s="57">
        <v>151</v>
      </c>
      <c r="B693" s="58">
        <f>PRRAS!C706</f>
        <v>692</v>
      </c>
      <c r="C693" s="58">
        <f>PRRAS!D706</f>
        <v>265223</v>
      </c>
      <c r="D693" s="58">
        <f>PRRAS!E706</f>
        <v>260508</v>
      </c>
      <c r="E693" s="58">
        <v>0</v>
      </c>
      <c r="F693" s="58">
        <v>0</v>
      </c>
      <c r="G693" s="59">
        <f t="shared" si="20"/>
        <v>544077.38799999992</v>
      </c>
      <c r="H693" s="59">
        <f t="shared" si="21"/>
        <v>0</v>
      </c>
      <c r="I693" s="60">
        <v>0</v>
      </c>
    </row>
    <row r="694" spans="1:9" x14ac:dyDescent="0.2">
      <c r="A694" s="57">
        <v>151</v>
      </c>
      <c r="B694" s="58">
        <f>PRRAS!C707</f>
        <v>693</v>
      </c>
      <c r="C694" s="58">
        <f>PRRAS!D707</f>
        <v>86769</v>
      </c>
      <c r="D694" s="58">
        <f>PRRAS!E707</f>
        <v>73253</v>
      </c>
      <c r="E694" s="58">
        <v>0</v>
      </c>
      <c r="F694" s="58">
        <v>0</v>
      </c>
      <c r="G694" s="59">
        <f t="shared" si="20"/>
        <v>161659.57499999998</v>
      </c>
      <c r="H694" s="59">
        <f t="shared" si="21"/>
        <v>0</v>
      </c>
      <c r="I694" s="60">
        <v>0</v>
      </c>
    </row>
    <row r="695" spans="1:9" x14ac:dyDescent="0.2">
      <c r="A695" s="57">
        <v>151</v>
      </c>
      <c r="B695" s="58">
        <f>PRRAS!C708</f>
        <v>694</v>
      </c>
      <c r="C695" s="58">
        <f>PRRAS!D708</f>
        <v>38740</v>
      </c>
      <c r="D695" s="58">
        <f>PRRAS!E708</f>
        <v>52172</v>
      </c>
      <c r="E695" s="58">
        <v>0</v>
      </c>
      <c r="F695" s="58">
        <v>0</v>
      </c>
      <c r="G695" s="59">
        <f t="shared" si="20"/>
        <v>99300.295999999988</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44921</v>
      </c>
      <c r="D697" s="58">
        <f>PRRAS!E710</f>
        <v>49005</v>
      </c>
      <c r="E697" s="58">
        <v>0</v>
      </c>
      <c r="F697" s="58">
        <v>0</v>
      </c>
      <c r="G697" s="59">
        <f t="shared" si="20"/>
        <v>99479.975999999995</v>
      </c>
      <c r="H697" s="59">
        <f t="shared" si="21"/>
        <v>0</v>
      </c>
      <c r="I697" s="60">
        <v>0</v>
      </c>
    </row>
    <row r="698" spans="1:9" x14ac:dyDescent="0.2">
      <c r="A698" s="57">
        <v>151</v>
      </c>
      <c r="B698" s="58">
        <f>PRRAS!C711</f>
        <v>697</v>
      </c>
      <c r="C698" s="58">
        <f>PRRAS!D711</f>
        <v>1256</v>
      </c>
      <c r="D698" s="58">
        <f>PRRAS!E711</f>
        <v>3318</v>
      </c>
      <c r="E698" s="58">
        <v>0</v>
      </c>
      <c r="F698" s="58">
        <v>0</v>
      </c>
      <c r="G698" s="59">
        <f t="shared" si="20"/>
        <v>5500.7239999999993</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6954104</v>
      </c>
      <c r="D977" s="63">
        <f>Bil!E12</f>
        <v>6935061</v>
      </c>
      <c r="E977" s="63">
        <v>0</v>
      </c>
      <c r="F977" s="63">
        <v>0</v>
      </c>
      <c r="G977" s="64">
        <f t="shared" ref="G977:G1040" si="32">B977/1000*C977+B977/500*D977</f>
        <v>20824.225999999999</v>
      </c>
      <c r="H977" s="64">
        <f t="shared" si="31"/>
        <v>0</v>
      </c>
      <c r="I977" s="65"/>
    </row>
    <row r="978" spans="1:9" x14ac:dyDescent="0.2">
      <c r="A978" s="57">
        <v>152</v>
      </c>
      <c r="B978" s="58">
        <f>Bil!C13</f>
        <v>2</v>
      </c>
      <c r="C978" s="58">
        <f>Bil!D13</f>
        <v>6859312</v>
      </c>
      <c r="D978" s="58">
        <f>Bil!E13</f>
        <v>6827372</v>
      </c>
      <c r="E978" s="58">
        <v>0</v>
      </c>
      <c r="F978" s="58">
        <v>0</v>
      </c>
      <c r="G978" s="59">
        <f t="shared" si="32"/>
        <v>41028.112000000001</v>
      </c>
      <c r="H978" s="59">
        <f t="shared" si="31"/>
        <v>0</v>
      </c>
      <c r="I978" s="60"/>
    </row>
    <row r="979" spans="1:9" x14ac:dyDescent="0.2">
      <c r="A979" s="57">
        <v>152</v>
      </c>
      <c r="B979" s="58">
        <f>Bil!C14</f>
        <v>3</v>
      </c>
      <c r="C979" s="58">
        <f>Bil!D14</f>
        <v>299292</v>
      </c>
      <c r="D979" s="58">
        <f>Bil!E14</f>
        <v>299292</v>
      </c>
      <c r="E979" s="58">
        <v>0</v>
      </c>
      <c r="F979" s="58">
        <v>0</v>
      </c>
      <c r="G979" s="59">
        <f t="shared" si="32"/>
        <v>2693.6279999999997</v>
      </c>
      <c r="H979" s="59">
        <f t="shared" si="31"/>
        <v>0</v>
      </c>
      <c r="I979" s="60"/>
    </row>
    <row r="980" spans="1:9" x14ac:dyDescent="0.2">
      <c r="A980" s="57">
        <v>152</v>
      </c>
      <c r="B980" s="58">
        <f>Bil!C15</f>
        <v>4</v>
      </c>
      <c r="C980" s="58">
        <f>Bil!D15</f>
        <v>299292</v>
      </c>
      <c r="D980" s="58">
        <f>Bil!E15</f>
        <v>299292</v>
      </c>
      <c r="E980" s="58">
        <v>0</v>
      </c>
      <c r="F980" s="58">
        <v>0</v>
      </c>
      <c r="G980" s="59">
        <f t="shared" si="32"/>
        <v>3591.5040000000004</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6555008</v>
      </c>
      <c r="D983" s="58">
        <f>Bil!E18</f>
        <v>6524441</v>
      </c>
      <c r="E983" s="58">
        <v>0</v>
      </c>
      <c r="F983" s="58">
        <v>0</v>
      </c>
      <c r="G983" s="59">
        <f t="shared" si="32"/>
        <v>137227.23000000001</v>
      </c>
      <c r="H983" s="59">
        <f t="shared" si="31"/>
        <v>0</v>
      </c>
      <c r="I983" s="60"/>
    </row>
    <row r="984" spans="1:9" x14ac:dyDescent="0.2">
      <c r="A984" s="57">
        <v>152</v>
      </c>
      <c r="B984" s="58">
        <f>Bil!C19</f>
        <v>8</v>
      </c>
      <c r="C984" s="58">
        <f>Bil!D19</f>
        <v>6121246</v>
      </c>
      <c r="D984" s="58">
        <f>Bil!E19</f>
        <v>6140482</v>
      </c>
      <c r="E984" s="58">
        <v>0</v>
      </c>
      <c r="F984" s="58">
        <v>0</v>
      </c>
      <c r="G984" s="59">
        <f t="shared" si="32"/>
        <v>147217.68</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10265782</v>
      </c>
      <c r="D986" s="58">
        <f>Bil!E21</f>
        <v>10415128</v>
      </c>
      <c r="E986" s="58">
        <v>0</v>
      </c>
      <c r="F986" s="58">
        <v>0</v>
      </c>
      <c r="G986" s="59">
        <f t="shared" si="32"/>
        <v>310960.38</v>
      </c>
      <c r="H986" s="59">
        <f t="shared" si="31"/>
        <v>0</v>
      </c>
      <c r="I986" s="60"/>
    </row>
    <row r="987" spans="1:9" x14ac:dyDescent="0.2">
      <c r="A987" s="57">
        <v>152</v>
      </c>
      <c r="B987" s="58">
        <f>Bil!C22</f>
        <v>11</v>
      </c>
      <c r="C987" s="58">
        <f>Bil!D22</f>
        <v>59082</v>
      </c>
      <c r="D987" s="58">
        <f>Bil!E22</f>
        <v>59082</v>
      </c>
      <c r="E987" s="58">
        <v>0</v>
      </c>
      <c r="F987" s="58">
        <v>0</v>
      </c>
      <c r="G987" s="59">
        <f t="shared" si="32"/>
        <v>1949.7059999999997</v>
      </c>
      <c r="H987" s="59">
        <f t="shared" si="31"/>
        <v>0</v>
      </c>
      <c r="I987" s="60"/>
    </row>
    <row r="988" spans="1:9" x14ac:dyDescent="0.2">
      <c r="A988" s="57">
        <v>152</v>
      </c>
      <c r="B988" s="58">
        <f>Bil!C23</f>
        <v>12</v>
      </c>
      <c r="C988" s="58">
        <f>Bil!D23</f>
        <v>47709</v>
      </c>
      <c r="D988" s="58">
        <f>Bil!E23</f>
        <v>47709</v>
      </c>
      <c r="E988" s="58">
        <v>0</v>
      </c>
      <c r="F988" s="58">
        <v>0</v>
      </c>
      <c r="G988" s="59">
        <f t="shared" si="32"/>
        <v>1717.5240000000001</v>
      </c>
      <c r="H988" s="59">
        <f t="shared" si="31"/>
        <v>0</v>
      </c>
      <c r="I988" s="60"/>
    </row>
    <row r="989" spans="1:9" x14ac:dyDescent="0.2">
      <c r="A989" s="57">
        <v>152</v>
      </c>
      <c r="B989" s="58">
        <f>Bil!C24</f>
        <v>13</v>
      </c>
      <c r="C989" s="58">
        <f>Bil!D24</f>
        <v>4251327</v>
      </c>
      <c r="D989" s="58">
        <f>Bil!E24</f>
        <v>4381437</v>
      </c>
      <c r="E989" s="58">
        <v>0</v>
      </c>
      <c r="F989" s="58">
        <v>0</v>
      </c>
      <c r="G989" s="59">
        <f t="shared" si="32"/>
        <v>169184.61299999998</v>
      </c>
      <c r="H989" s="59">
        <f t="shared" si="31"/>
        <v>0</v>
      </c>
      <c r="I989" s="60"/>
    </row>
    <row r="990" spans="1:9" x14ac:dyDescent="0.2">
      <c r="A990" s="57">
        <v>152</v>
      </c>
      <c r="B990" s="58">
        <f>Bil!C25</f>
        <v>14</v>
      </c>
      <c r="C990" s="58">
        <f>Bil!D25</f>
        <v>371387</v>
      </c>
      <c r="D990" s="58">
        <f>Bil!E25</f>
        <v>328256</v>
      </c>
      <c r="E990" s="58">
        <v>0</v>
      </c>
      <c r="F990" s="58">
        <v>0</v>
      </c>
      <c r="G990" s="59">
        <f t="shared" si="32"/>
        <v>14390.585999999999</v>
      </c>
      <c r="H990" s="59">
        <f t="shared" si="31"/>
        <v>0</v>
      </c>
      <c r="I990" s="60"/>
    </row>
    <row r="991" spans="1:9" x14ac:dyDescent="0.2">
      <c r="A991" s="57">
        <v>152</v>
      </c>
      <c r="B991" s="58">
        <f>Bil!C26</f>
        <v>15</v>
      </c>
      <c r="C991" s="58">
        <f>Bil!D26</f>
        <v>331918</v>
      </c>
      <c r="D991" s="58">
        <f>Bil!E26</f>
        <v>352888</v>
      </c>
      <c r="E991" s="58">
        <v>0</v>
      </c>
      <c r="F991" s="58">
        <v>0</v>
      </c>
      <c r="G991" s="59">
        <f t="shared" si="32"/>
        <v>15565.41</v>
      </c>
      <c r="H991" s="59">
        <f t="shared" si="31"/>
        <v>0</v>
      </c>
      <c r="I991" s="60"/>
    </row>
    <row r="992" spans="1:9" x14ac:dyDescent="0.2">
      <c r="A992" s="57">
        <v>152</v>
      </c>
      <c r="B992" s="58">
        <f>Bil!C27</f>
        <v>16</v>
      </c>
      <c r="C992" s="58">
        <f>Bil!D27</f>
        <v>31005</v>
      </c>
      <c r="D992" s="58">
        <f>Bil!E27</f>
        <v>33501</v>
      </c>
      <c r="E992" s="58">
        <v>0</v>
      </c>
      <c r="F992" s="58">
        <v>0</v>
      </c>
      <c r="G992" s="59">
        <f t="shared" si="32"/>
        <v>1568.1119999999999</v>
      </c>
      <c r="H992" s="59">
        <f t="shared" si="31"/>
        <v>0</v>
      </c>
      <c r="I992" s="60"/>
    </row>
    <row r="993" spans="1:9" x14ac:dyDescent="0.2">
      <c r="A993" s="57">
        <v>152</v>
      </c>
      <c r="B993" s="58">
        <f>Bil!C28</f>
        <v>17</v>
      </c>
      <c r="C993" s="58">
        <f>Bil!D28</f>
        <v>24756</v>
      </c>
      <c r="D993" s="58">
        <f>Bil!E28</f>
        <v>24756</v>
      </c>
      <c r="E993" s="58">
        <v>0</v>
      </c>
      <c r="F993" s="58">
        <v>0</v>
      </c>
      <c r="G993" s="59">
        <f t="shared" si="32"/>
        <v>1262.556</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26562</v>
      </c>
      <c r="D996" s="58">
        <f>Bil!E31</f>
        <v>40132</v>
      </c>
      <c r="E996" s="58">
        <v>0</v>
      </c>
      <c r="F996" s="58">
        <v>0</v>
      </c>
      <c r="G996" s="59">
        <f t="shared" si="32"/>
        <v>2136.52</v>
      </c>
      <c r="H996" s="59">
        <f t="shared" si="31"/>
        <v>0</v>
      </c>
      <c r="I996" s="60"/>
    </row>
    <row r="997" spans="1:9" x14ac:dyDescent="0.2">
      <c r="A997" s="57">
        <v>152</v>
      </c>
      <c r="B997" s="58">
        <f>Bil!C32</f>
        <v>21</v>
      </c>
      <c r="C997" s="58">
        <f>Bil!D32</f>
        <v>1937711</v>
      </c>
      <c r="D997" s="58">
        <f>Bil!E32</f>
        <v>1981277</v>
      </c>
      <c r="E997" s="58">
        <v>0</v>
      </c>
      <c r="F997" s="58">
        <v>0</v>
      </c>
      <c r="G997" s="59">
        <f t="shared" si="32"/>
        <v>123905.565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1980565</v>
      </c>
      <c r="D999" s="58">
        <f>Bil!E34</f>
        <v>2104298</v>
      </c>
      <c r="E999" s="58">
        <v>0</v>
      </c>
      <c r="F999" s="58">
        <v>0</v>
      </c>
      <c r="G999" s="59">
        <f t="shared" si="32"/>
        <v>142350.70300000001</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38000</v>
      </c>
      <c r="D1006" s="58">
        <f>Bil!E41</f>
        <v>38000</v>
      </c>
      <c r="E1006" s="58">
        <v>0</v>
      </c>
      <c r="F1006" s="58">
        <v>0</v>
      </c>
      <c r="G1006" s="59">
        <f t="shared" si="32"/>
        <v>3420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38000</v>
      </c>
      <c r="D1008" s="58">
        <f>Bil!E43</f>
        <v>38000</v>
      </c>
      <c r="E1008" s="58">
        <v>0</v>
      </c>
      <c r="F1008" s="58">
        <v>0</v>
      </c>
      <c r="G1008" s="59">
        <f t="shared" si="32"/>
        <v>3648</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24375</v>
      </c>
      <c r="D1016" s="58">
        <f>Bil!E51</f>
        <v>17703</v>
      </c>
      <c r="E1016" s="58">
        <v>0</v>
      </c>
      <c r="F1016" s="58">
        <v>0</v>
      </c>
      <c r="G1016" s="59">
        <f t="shared" si="32"/>
        <v>2391.2399999999998</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87631</v>
      </c>
      <c r="D1018" s="58">
        <f>Bil!E53</f>
        <v>97355</v>
      </c>
      <c r="E1018" s="58">
        <v>0</v>
      </c>
      <c r="F1018" s="58">
        <v>0</v>
      </c>
      <c r="G1018" s="59">
        <f t="shared" si="32"/>
        <v>11858.322</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63256</v>
      </c>
      <c r="D1021" s="58">
        <f>Bil!E56</f>
        <v>79652</v>
      </c>
      <c r="E1021" s="58">
        <v>0</v>
      </c>
      <c r="F1021" s="58">
        <v>0</v>
      </c>
      <c r="G1021" s="59">
        <f t="shared" si="32"/>
        <v>10015.199999999999</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165779</v>
      </c>
      <c r="D1025" s="58">
        <f>Bil!E60</f>
        <v>170448</v>
      </c>
      <c r="E1025" s="58">
        <v>0</v>
      </c>
      <c r="F1025" s="58">
        <v>0</v>
      </c>
      <c r="G1025" s="59">
        <f t="shared" si="32"/>
        <v>24827.075000000004</v>
      </c>
      <c r="H1025" s="59">
        <f t="shared" si="31"/>
        <v>0</v>
      </c>
      <c r="I1025" s="60"/>
    </row>
    <row r="1026" spans="1:9" x14ac:dyDescent="0.2">
      <c r="A1026" s="57">
        <v>152</v>
      </c>
      <c r="B1026" s="58">
        <f>Bil!C61</f>
        <v>50</v>
      </c>
      <c r="C1026" s="58">
        <f>Bil!D61</f>
        <v>165779</v>
      </c>
      <c r="D1026" s="58">
        <f>Bil!E61</f>
        <v>170448</v>
      </c>
      <c r="E1026" s="58">
        <v>0</v>
      </c>
      <c r="F1026" s="58">
        <v>0</v>
      </c>
      <c r="G1026" s="59">
        <f t="shared" si="32"/>
        <v>25333.75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5012</v>
      </c>
      <c r="D1034" s="58">
        <f>Bil!E69</f>
        <v>3639</v>
      </c>
      <c r="E1034" s="58">
        <v>0</v>
      </c>
      <c r="F1034" s="58">
        <v>0</v>
      </c>
      <c r="G1034" s="59">
        <f t="shared" si="32"/>
        <v>712.82</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5012</v>
      </c>
      <c r="D1038" s="58">
        <f>Bil!E73</f>
        <v>3639</v>
      </c>
      <c r="E1038" s="58">
        <v>0</v>
      </c>
      <c r="F1038" s="58">
        <v>0</v>
      </c>
      <c r="G1038" s="59">
        <f t="shared" si="32"/>
        <v>761.98</v>
      </c>
      <c r="H1038" s="59">
        <f t="shared" si="33"/>
        <v>0</v>
      </c>
      <c r="I1038" s="60"/>
    </row>
    <row r="1039" spans="1:9" x14ac:dyDescent="0.2">
      <c r="A1039" s="57">
        <v>152</v>
      </c>
      <c r="B1039" s="58">
        <f>Bil!C74</f>
        <v>63</v>
      </c>
      <c r="C1039" s="58">
        <f>Bil!D74</f>
        <v>94792</v>
      </c>
      <c r="D1039" s="58">
        <f>Bil!E74</f>
        <v>107689</v>
      </c>
      <c r="E1039" s="58">
        <v>0</v>
      </c>
      <c r="F1039" s="58">
        <v>0</v>
      </c>
      <c r="G1039" s="59">
        <f t="shared" si="32"/>
        <v>19540.71</v>
      </c>
      <c r="H1039" s="59">
        <f t="shared" si="33"/>
        <v>0</v>
      </c>
      <c r="I1039" s="60"/>
    </row>
    <row r="1040" spans="1:9" x14ac:dyDescent="0.2">
      <c r="A1040" s="57">
        <v>152</v>
      </c>
      <c r="B1040" s="58">
        <f>Bil!C75</f>
        <v>64</v>
      </c>
      <c r="C1040" s="58">
        <f>Bil!D75</f>
        <v>94792</v>
      </c>
      <c r="D1040" s="58">
        <f>Bil!E75</f>
        <v>107689</v>
      </c>
      <c r="E1040" s="58">
        <v>0</v>
      </c>
      <c r="F1040" s="58">
        <v>0</v>
      </c>
      <c r="G1040" s="59">
        <f t="shared" si="32"/>
        <v>19850.88</v>
      </c>
      <c r="H1040" s="59">
        <f t="shared" si="33"/>
        <v>0</v>
      </c>
      <c r="I1040" s="60"/>
    </row>
    <row r="1041" spans="1:9" x14ac:dyDescent="0.2">
      <c r="A1041" s="57">
        <v>152</v>
      </c>
      <c r="B1041" s="58">
        <f>Bil!C76</f>
        <v>65</v>
      </c>
      <c r="C1041" s="58">
        <f>Bil!D76</f>
        <v>94339</v>
      </c>
      <c r="D1041" s="58">
        <f>Bil!E76</f>
        <v>107689</v>
      </c>
      <c r="E1041" s="58">
        <v>0</v>
      </c>
      <c r="F1041" s="58">
        <v>0</v>
      </c>
      <c r="G1041" s="59">
        <f t="shared" ref="G1041:G1104" si="34">B1041/1000*C1041+B1041/500*D1041</f>
        <v>20131.605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94339</v>
      </c>
      <c r="D1045" s="58">
        <f>Bil!E80</f>
        <v>107689</v>
      </c>
      <c r="E1045" s="58">
        <v>0</v>
      </c>
      <c r="F1045" s="58">
        <v>0</v>
      </c>
      <c r="G1045" s="59">
        <f t="shared" si="34"/>
        <v>21370.473000000002</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453</v>
      </c>
      <c r="D1047" s="58">
        <f>Bil!E82</f>
        <v>0</v>
      </c>
      <c r="E1047" s="58">
        <v>0</v>
      </c>
      <c r="F1047" s="58">
        <v>0</v>
      </c>
      <c r="G1047" s="59">
        <f t="shared" si="34"/>
        <v>32.162999999999997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6954104</v>
      </c>
      <c r="D1138" s="58">
        <f>Bil!E173</f>
        <v>6935060</v>
      </c>
      <c r="E1138" s="58">
        <v>0</v>
      </c>
      <c r="F1138" s="58">
        <v>0</v>
      </c>
      <c r="G1138" s="59">
        <f t="shared" si="36"/>
        <v>3373524.2879999997</v>
      </c>
      <c r="H1138" s="59">
        <f t="shared" si="35"/>
        <v>0</v>
      </c>
      <c r="I1138" s="60"/>
    </row>
    <row r="1139" spans="1:9" x14ac:dyDescent="0.2">
      <c r="A1139" s="57">
        <v>152</v>
      </c>
      <c r="B1139" s="58">
        <f>Bil!C174</f>
        <v>163</v>
      </c>
      <c r="C1139" s="58">
        <f>Bil!D174</f>
        <v>75313</v>
      </c>
      <c r="D1139" s="58">
        <f>Bil!E174</f>
        <v>78985</v>
      </c>
      <c r="E1139" s="58">
        <v>0</v>
      </c>
      <c r="F1139" s="58">
        <v>0</v>
      </c>
      <c r="G1139" s="59">
        <f t="shared" si="36"/>
        <v>38025.129000000001</v>
      </c>
      <c r="H1139" s="59">
        <f t="shared" si="35"/>
        <v>0</v>
      </c>
      <c r="I1139" s="60"/>
    </row>
    <row r="1140" spans="1:9" x14ac:dyDescent="0.2">
      <c r="A1140" s="57">
        <v>152</v>
      </c>
      <c r="B1140" s="58">
        <f>Bil!C175</f>
        <v>164</v>
      </c>
      <c r="C1140" s="58">
        <f>Bil!D175</f>
        <v>75313</v>
      </c>
      <c r="D1140" s="58">
        <f>Bil!E175</f>
        <v>69217</v>
      </c>
      <c r="E1140" s="58">
        <v>0</v>
      </c>
      <c r="F1140" s="58">
        <v>0</v>
      </c>
      <c r="G1140" s="59">
        <f t="shared" si="36"/>
        <v>35054.508000000002</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75313</v>
      </c>
      <c r="D1142" s="58">
        <f>Bil!E177</f>
        <v>69217</v>
      </c>
      <c r="E1142" s="58">
        <v>0</v>
      </c>
      <c r="F1142" s="58">
        <v>0</v>
      </c>
      <c r="G1142" s="59">
        <f t="shared" si="36"/>
        <v>35482.002</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9768</v>
      </c>
      <c r="E1151" s="58">
        <v>0</v>
      </c>
      <c r="F1151" s="58">
        <v>0</v>
      </c>
      <c r="G1151" s="59">
        <f t="shared" si="36"/>
        <v>3418.7999999999997</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6878791</v>
      </c>
      <c r="D1199" s="58">
        <f>Bil!E234</f>
        <v>6856075</v>
      </c>
      <c r="E1199" s="58">
        <v>0</v>
      </c>
      <c r="F1199" s="58">
        <v>0</v>
      </c>
      <c r="G1199" s="59">
        <f t="shared" si="38"/>
        <v>4591779.8430000003</v>
      </c>
      <c r="H1199" s="59">
        <f t="shared" si="37"/>
        <v>0</v>
      </c>
      <c r="I1199" s="60"/>
    </row>
    <row r="1200" spans="1:9" x14ac:dyDescent="0.2">
      <c r="A1200" s="57">
        <v>152</v>
      </c>
      <c r="B1200" s="58">
        <f>Bil!C235</f>
        <v>224</v>
      </c>
      <c r="C1200" s="58">
        <f>Bil!D235</f>
        <v>6854300</v>
      </c>
      <c r="D1200" s="58">
        <f>Bil!E235</f>
        <v>6823733</v>
      </c>
      <c r="E1200" s="58">
        <v>0</v>
      </c>
      <c r="F1200" s="58">
        <v>0</v>
      </c>
      <c r="G1200" s="59">
        <f t="shared" si="38"/>
        <v>4592395.5839999998</v>
      </c>
      <c r="H1200" s="59">
        <f t="shared" si="37"/>
        <v>0</v>
      </c>
      <c r="I1200" s="60"/>
    </row>
    <row r="1201" spans="1:9" x14ac:dyDescent="0.2">
      <c r="A1201" s="57">
        <v>152</v>
      </c>
      <c r="B1201" s="58">
        <f>Bil!C236</f>
        <v>225</v>
      </c>
      <c r="C1201" s="58">
        <f>Bil!D236</f>
        <v>6854300</v>
      </c>
      <c r="D1201" s="58">
        <f>Bil!E236</f>
        <v>6823733</v>
      </c>
      <c r="E1201" s="58">
        <v>0</v>
      </c>
      <c r="F1201" s="58">
        <v>0</v>
      </c>
      <c r="G1201" s="59">
        <f t="shared" si="38"/>
        <v>4612897.3499999996</v>
      </c>
      <c r="H1201" s="59">
        <f t="shared" si="37"/>
        <v>0</v>
      </c>
      <c r="I1201" s="60"/>
    </row>
    <row r="1202" spans="1:9" x14ac:dyDescent="0.2">
      <c r="A1202" s="57">
        <v>152</v>
      </c>
      <c r="B1202" s="58">
        <f>Bil!C237</f>
        <v>226</v>
      </c>
      <c r="C1202" s="58">
        <f>Bil!D237</f>
        <v>6854300</v>
      </c>
      <c r="D1202" s="58">
        <f>Bil!E237</f>
        <v>6823733</v>
      </c>
      <c r="E1202" s="58">
        <v>0</v>
      </c>
      <c r="F1202" s="58">
        <v>0</v>
      </c>
      <c r="G1202" s="59">
        <f t="shared" si="38"/>
        <v>4633399.1160000004</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24491</v>
      </c>
      <c r="D1208" s="58">
        <f>Bil!E243</f>
        <v>32342</v>
      </c>
      <c r="E1208" s="58">
        <v>0</v>
      </c>
      <c r="F1208" s="58">
        <v>0</v>
      </c>
      <c r="G1208" s="59">
        <f t="shared" si="38"/>
        <v>20688.599999999999</v>
      </c>
      <c r="H1208" s="59">
        <f t="shared" si="37"/>
        <v>0</v>
      </c>
      <c r="I1208" s="60"/>
    </row>
    <row r="1209" spans="1:9" x14ac:dyDescent="0.2">
      <c r="A1209" s="57">
        <v>152</v>
      </c>
      <c r="B1209" s="58">
        <f>Bil!C244</f>
        <v>233</v>
      </c>
      <c r="C1209" s="58">
        <f>Bil!D244</f>
        <v>24491</v>
      </c>
      <c r="D1209" s="58">
        <f>Bil!E244</f>
        <v>32342</v>
      </c>
      <c r="E1209" s="58">
        <v>0</v>
      </c>
      <c r="F1209" s="58">
        <v>0</v>
      </c>
      <c r="G1209" s="59">
        <f t="shared" si="38"/>
        <v>20777.775000000001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524</v>
      </c>
      <c r="D1220" s="58">
        <f>Bil!E255</f>
        <v>524</v>
      </c>
      <c r="E1220" s="58">
        <v>0</v>
      </c>
      <c r="F1220" s="58">
        <v>0</v>
      </c>
      <c r="G1220" s="59">
        <f t="shared" si="38"/>
        <v>383.56799999999998</v>
      </c>
      <c r="H1220" s="59">
        <f t="shared" si="39"/>
        <v>0</v>
      </c>
      <c r="I1220" s="60"/>
    </row>
    <row r="1221" spans="1:9" x14ac:dyDescent="0.2">
      <c r="A1221" s="57">
        <v>152</v>
      </c>
      <c r="B1221" s="58">
        <f>Bil!C256</f>
        <v>245</v>
      </c>
      <c r="C1221" s="58">
        <f>Bil!D256</f>
        <v>524</v>
      </c>
      <c r="D1221" s="58">
        <f>Bil!E256</f>
        <v>524</v>
      </c>
      <c r="E1221" s="58">
        <v>0</v>
      </c>
      <c r="F1221" s="58">
        <v>0</v>
      </c>
      <c r="G1221" s="59">
        <f t="shared" si="38"/>
        <v>385.14</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75313</v>
      </c>
      <c r="D1251" s="58">
        <f>Bil!E287</f>
        <v>69217</v>
      </c>
      <c r="E1251" s="58">
        <v>0</v>
      </c>
      <c r="F1251" s="58">
        <v>0</v>
      </c>
      <c r="G1251" s="59">
        <f t="shared" si="40"/>
        <v>58780.425000000003</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9768</v>
      </c>
      <c r="E1253" s="58">
        <v>0</v>
      </c>
      <c r="F1253" s="58">
        <v>0</v>
      </c>
      <c r="G1253" s="59">
        <f t="shared" si="40"/>
        <v>5411.4720000000007</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3317747</v>
      </c>
      <c r="D1389" s="58">
        <f>RasF!E114</f>
        <v>3238022</v>
      </c>
      <c r="E1389" s="58">
        <v>0</v>
      </c>
      <c r="F1389" s="58">
        <v>0</v>
      </c>
      <c r="G1389" s="59">
        <f t="shared" si="44"/>
        <v>1008760.473</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3317747</v>
      </c>
      <c r="D1391" s="58">
        <f>RasF!E116</f>
        <v>3238022</v>
      </c>
      <c r="E1391" s="58">
        <v>0</v>
      </c>
      <c r="F1391" s="58">
        <v>0</v>
      </c>
      <c r="G1391" s="59">
        <f t="shared" si="44"/>
        <v>1028348.0549999999</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3317747</v>
      </c>
      <c r="D1423" s="67">
        <f>RasF!E148</f>
        <v>3238022</v>
      </c>
      <c r="E1423" s="67">
        <v>0</v>
      </c>
      <c r="F1423" s="67">
        <v>0</v>
      </c>
      <c r="G1423" s="68">
        <f t="shared" si="44"/>
        <v>1341749.3670000001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75313</v>
      </c>
      <c r="D1468" s="70"/>
      <c r="E1468" s="70">
        <v>0</v>
      </c>
      <c r="F1468" s="70">
        <v>0</v>
      </c>
      <c r="G1468" s="64">
        <f t="shared" ref="G1468:G1499" si="51">B1468/1000*C1468</f>
        <v>75.313000000000002</v>
      </c>
      <c r="H1468" s="64">
        <f t="shared" ref="H1468:H1499" si="52">ABS(C1468-ROUND(C1468,0))</f>
        <v>0</v>
      </c>
      <c r="I1468" s="65"/>
    </row>
    <row r="1469" spans="1:9" x14ac:dyDescent="0.2">
      <c r="A1469" s="73">
        <v>159</v>
      </c>
      <c r="B1469" s="61">
        <f>Obv!C13</f>
        <v>2</v>
      </c>
      <c r="C1469" s="61">
        <f>Obv!D13</f>
        <v>3260164</v>
      </c>
      <c r="D1469" s="61">
        <v>0</v>
      </c>
      <c r="E1469" s="61">
        <v>0</v>
      </c>
      <c r="F1469" s="61">
        <v>0</v>
      </c>
      <c r="G1469" s="59">
        <f t="shared" si="51"/>
        <v>6520.3280000000004</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3020493</v>
      </c>
      <c r="D1471" s="61">
        <v>0</v>
      </c>
      <c r="E1471" s="61">
        <v>0</v>
      </c>
      <c r="F1471" s="61">
        <v>0</v>
      </c>
      <c r="G1471" s="59">
        <f t="shared" si="51"/>
        <v>12081.972</v>
      </c>
      <c r="H1471" s="59">
        <f t="shared" si="52"/>
        <v>0</v>
      </c>
      <c r="I1471" s="60"/>
    </row>
    <row r="1472" spans="1:9" x14ac:dyDescent="0.2">
      <c r="A1472" s="73">
        <v>159</v>
      </c>
      <c r="B1472" s="61">
        <f>Obv!C16</f>
        <v>5</v>
      </c>
      <c r="C1472" s="61">
        <f>Obv!D16</f>
        <v>846480</v>
      </c>
      <c r="D1472" s="61">
        <v>0</v>
      </c>
      <c r="E1472" s="61">
        <v>0</v>
      </c>
      <c r="F1472" s="61">
        <v>0</v>
      </c>
      <c r="G1472" s="59">
        <f t="shared" si="51"/>
        <v>4232.3999999999996</v>
      </c>
      <c r="H1472" s="59">
        <f t="shared" si="52"/>
        <v>0</v>
      </c>
      <c r="I1472" s="60"/>
    </row>
    <row r="1473" spans="1:9" x14ac:dyDescent="0.2">
      <c r="A1473" s="73">
        <v>159</v>
      </c>
      <c r="B1473" s="61">
        <f>Obv!C17</f>
        <v>6</v>
      </c>
      <c r="C1473" s="61">
        <f>Obv!D17</f>
        <v>2173764</v>
      </c>
      <c r="D1473" s="61">
        <v>0</v>
      </c>
      <c r="E1473" s="61">
        <v>0</v>
      </c>
      <c r="F1473" s="61">
        <v>0</v>
      </c>
      <c r="G1473" s="59">
        <f t="shared" si="51"/>
        <v>13042.584000000001</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249</v>
      </c>
      <c r="D1478" s="61">
        <v>0</v>
      </c>
      <c r="E1478" s="61">
        <v>0</v>
      </c>
      <c r="F1478" s="61">
        <v>0</v>
      </c>
      <c r="G1478" s="59">
        <f t="shared" si="51"/>
        <v>2.7389999999999999</v>
      </c>
      <c r="H1478" s="59">
        <f t="shared" si="52"/>
        <v>0</v>
      </c>
      <c r="I1478" s="60"/>
    </row>
    <row r="1479" spans="1:9" x14ac:dyDescent="0.2">
      <c r="A1479" s="73">
        <v>159</v>
      </c>
      <c r="B1479" s="61">
        <f>Obv!C23</f>
        <v>12</v>
      </c>
      <c r="C1479" s="61">
        <f>Obv!D23</f>
        <v>239671</v>
      </c>
      <c r="D1479" s="61">
        <v>0</v>
      </c>
      <c r="E1479" s="61">
        <v>0</v>
      </c>
      <c r="F1479" s="61">
        <v>0</v>
      </c>
      <c r="G1479" s="59">
        <f t="shared" si="51"/>
        <v>2876.0520000000001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3256492</v>
      </c>
      <c r="D1486" s="61">
        <v>0</v>
      </c>
      <c r="E1486" s="61">
        <v>0</v>
      </c>
      <c r="F1486" s="61">
        <v>0</v>
      </c>
      <c r="G1486" s="59">
        <f t="shared" si="51"/>
        <v>61873.347999999998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3026589</v>
      </c>
      <c r="D1488" s="61">
        <v>0</v>
      </c>
      <c r="E1488" s="61">
        <v>0</v>
      </c>
      <c r="F1488" s="61">
        <v>0</v>
      </c>
      <c r="G1488" s="59">
        <f t="shared" si="51"/>
        <v>63558.369000000006</v>
      </c>
      <c r="H1488" s="59">
        <f t="shared" si="52"/>
        <v>0</v>
      </c>
      <c r="I1488" s="60"/>
    </row>
    <row r="1489" spans="1:9" x14ac:dyDescent="0.2">
      <c r="A1489" s="73">
        <v>159</v>
      </c>
      <c r="B1489" s="61">
        <f>Obv!C33</f>
        <v>22</v>
      </c>
      <c r="C1489" s="61">
        <f>Obv!D33</f>
        <v>846480</v>
      </c>
      <c r="D1489" s="61">
        <v>0</v>
      </c>
      <c r="E1489" s="61">
        <v>0</v>
      </c>
      <c r="F1489" s="61">
        <v>0</v>
      </c>
      <c r="G1489" s="59">
        <f t="shared" si="51"/>
        <v>18622.559999999998</v>
      </c>
      <c r="H1489" s="59">
        <f t="shared" si="52"/>
        <v>0</v>
      </c>
      <c r="I1489" s="60"/>
    </row>
    <row r="1490" spans="1:9" x14ac:dyDescent="0.2">
      <c r="A1490" s="73">
        <v>159</v>
      </c>
      <c r="B1490" s="61">
        <f>Obv!C34</f>
        <v>23</v>
      </c>
      <c r="C1490" s="61">
        <f>Obv!D34</f>
        <v>2179860</v>
      </c>
      <c r="D1490" s="61">
        <v>0</v>
      </c>
      <c r="E1490" s="61">
        <v>0</v>
      </c>
      <c r="F1490" s="61">
        <v>0</v>
      </c>
      <c r="G1490" s="59">
        <f t="shared" si="51"/>
        <v>50136.78</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249</v>
      </c>
      <c r="D1495" s="61">
        <v>0</v>
      </c>
      <c r="E1495" s="61">
        <v>0</v>
      </c>
      <c r="F1495" s="61">
        <v>0</v>
      </c>
      <c r="G1495" s="59">
        <f t="shared" si="51"/>
        <v>6.9720000000000004</v>
      </c>
      <c r="H1495" s="59">
        <f t="shared" si="52"/>
        <v>0</v>
      </c>
      <c r="I1495" s="60"/>
    </row>
    <row r="1496" spans="1:9" x14ac:dyDescent="0.2">
      <c r="A1496" s="73">
        <v>159</v>
      </c>
      <c r="B1496" s="61">
        <f>Obv!C40</f>
        <v>29</v>
      </c>
      <c r="C1496" s="61">
        <f>Obv!D40</f>
        <v>229903</v>
      </c>
      <c r="D1496" s="61">
        <v>0</v>
      </c>
      <c r="E1496" s="61">
        <v>0</v>
      </c>
      <c r="F1496" s="61">
        <v>0</v>
      </c>
      <c r="G1496" s="59">
        <f t="shared" si="51"/>
        <v>6667.1869999999999</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78985</v>
      </c>
      <c r="D1503" s="61">
        <v>0</v>
      </c>
      <c r="E1503" s="61">
        <v>0</v>
      </c>
      <c r="F1503" s="61">
        <v>0</v>
      </c>
      <c r="G1503" s="59">
        <f t="shared" si="53"/>
        <v>2843.4599999999996</v>
      </c>
      <c r="H1503" s="59">
        <f t="shared" si="54"/>
        <v>0</v>
      </c>
      <c r="I1503" s="60"/>
    </row>
    <row r="1504" spans="1:9" x14ac:dyDescent="0.2">
      <c r="A1504" s="73">
        <v>159</v>
      </c>
      <c r="B1504" s="61">
        <f>Obv!C48</f>
        <v>37</v>
      </c>
      <c r="C1504" s="61">
        <f>Obv!D48</f>
        <v>78985</v>
      </c>
      <c r="D1504" s="61">
        <v>0</v>
      </c>
      <c r="E1504" s="61">
        <v>0</v>
      </c>
      <c r="F1504" s="61">
        <v>0</v>
      </c>
      <c r="G1504" s="59">
        <f t="shared" si="53"/>
        <v>2922.4449999999997</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69217</v>
      </c>
      <c r="D1510" s="61">
        <v>0</v>
      </c>
      <c r="E1510" s="61">
        <v>0</v>
      </c>
      <c r="F1510" s="61">
        <v>0</v>
      </c>
      <c r="G1510" s="59">
        <f t="shared" si="53"/>
        <v>2976.3309999999997</v>
      </c>
      <c r="H1510" s="59">
        <f t="shared" si="54"/>
        <v>0</v>
      </c>
      <c r="I1510" s="60"/>
    </row>
    <row r="1511" spans="1:9" x14ac:dyDescent="0.2">
      <c r="A1511" s="73">
        <v>159</v>
      </c>
      <c r="B1511" s="61">
        <f>Obv!C55</f>
        <v>44</v>
      </c>
      <c r="C1511" s="61">
        <f>Obv!D55</f>
        <v>69217</v>
      </c>
      <c r="D1511" s="61">
        <v>0</v>
      </c>
      <c r="E1511" s="61">
        <v>0</v>
      </c>
      <c r="F1511" s="61">
        <v>0</v>
      </c>
      <c r="G1511" s="59">
        <f t="shared" si="53"/>
        <v>3045.5479999999998</v>
      </c>
      <c r="H1511" s="59">
        <f t="shared" si="54"/>
        <v>0</v>
      </c>
      <c r="I1511" s="60"/>
    </row>
    <row r="1512" spans="1:9" x14ac:dyDescent="0.2">
      <c r="A1512" s="73">
        <v>159</v>
      </c>
      <c r="B1512" s="61">
        <f>Obv!C56</f>
        <v>45</v>
      </c>
      <c r="C1512" s="61">
        <f>Obv!D56</f>
        <v>54705</v>
      </c>
      <c r="D1512" s="61">
        <v>0</v>
      </c>
      <c r="E1512" s="61">
        <v>0</v>
      </c>
      <c r="F1512" s="61">
        <v>0</v>
      </c>
      <c r="G1512" s="59">
        <f t="shared" si="53"/>
        <v>2461.7249999999999</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14512</v>
      </c>
      <c r="D1515" s="61">
        <v>0</v>
      </c>
      <c r="E1515" s="61">
        <v>0</v>
      </c>
      <c r="F1515" s="61">
        <v>0</v>
      </c>
      <c r="G1515" s="59">
        <f t="shared" si="53"/>
        <v>696.57600000000002</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9768</v>
      </c>
      <c r="D1546" s="61">
        <v>0</v>
      </c>
      <c r="E1546" s="61">
        <v>0</v>
      </c>
      <c r="F1546" s="61">
        <v>0</v>
      </c>
      <c r="G1546" s="59">
        <f t="shared" si="55"/>
        <v>771.67200000000003</v>
      </c>
      <c r="H1546" s="59">
        <f t="shared" si="56"/>
        <v>0</v>
      </c>
      <c r="I1546" s="60"/>
    </row>
    <row r="1547" spans="1:9" x14ac:dyDescent="0.2">
      <c r="A1547" s="73">
        <v>159</v>
      </c>
      <c r="B1547" s="61">
        <f>Obv!C91</f>
        <v>80</v>
      </c>
      <c r="C1547" s="61">
        <f>Obv!D91</f>
        <v>9768</v>
      </c>
      <c r="D1547" s="61">
        <v>0</v>
      </c>
      <c r="E1547" s="61">
        <v>0</v>
      </c>
      <c r="F1547" s="61">
        <v>0</v>
      </c>
      <c r="G1547" s="59">
        <f t="shared" si="55"/>
        <v>781.44</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0</v>
      </c>
      <c r="D1557" s="61">
        <v>0</v>
      </c>
      <c r="E1557" s="61">
        <v>0</v>
      </c>
      <c r="F1557" s="61">
        <v>0</v>
      </c>
      <c r="G1557" s="59">
        <f t="shared" si="55"/>
        <v>0</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17"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B27" sqref="B2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1" t="s">
        <v>1561</v>
      </c>
      <c r="B1" s="352"/>
      <c r="C1" s="361" t="s">
        <v>2063</v>
      </c>
      <c r="D1" s="361"/>
      <c r="E1" s="361" t="s">
        <v>2064</v>
      </c>
      <c r="F1" s="361"/>
      <c r="G1" s="361" t="s">
        <v>2065</v>
      </c>
      <c r="H1" s="361"/>
      <c r="I1" s="361"/>
      <c r="J1" s="361" t="s">
        <v>1740</v>
      </c>
      <c r="K1" s="362"/>
    </row>
    <row r="2" spans="1:11" ht="32.1" customHeight="1" x14ac:dyDescent="0.2">
      <c r="A2" s="18"/>
      <c r="B2" s="18"/>
      <c r="C2" s="18"/>
      <c r="D2" s="18"/>
      <c r="E2" s="18"/>
      <c r="F2" s="18"/>
      <c r="H2" s="102">
        <f>LOOKUP(B22,A107:A663,C107:C663)</f>
        <v>12</v>
      </c>
      <c r="I2" s="18"/>
      <c r="J2" s="363" t="s">
        <v>3715</v>
      </c>
      <c r="K2" s="363"/>
    </row>
    <row r="3" spans="1:11" ht="5.0999999999999996" customHeight="1" x14ac:dyDescent="0.2">
      <c r="B3" s="4"/>
      <c r="C3" s="4"/>
      <c r="D3" s="4"/>
      <c r="E3" s="4"/>
      <c r="F3" s="4"/>
      <c r="G3" s="4"/>
      <c r="H3" s="4"/>
      <c r="I3" s="4"/>
    </row>
    <row r="4" spans="1:11" ht="35.1" customHeight="1" x14ac:dyDescent="0.4">
      <c r="A4" s="384" t="s">
        <v>3518</v>
      </c>
      <c r="B4" s="384"/>
      <c r="C4" s="384"/>
      <c r="D4" s="384"/>
      <c r="E4" s="384"/>
      <c r="F4" s="384"/>
      <c r="G4" s="384"/>
      <c r="H4" s="384"/>
      <c r="I4" s="384"/>
      <c r="J4" s="384"/>
      <c r="K4" s="384"/>
    </row>
    <row r="5" spans="1:11" ht="39.950000000000003" customHeight="1" x14ac:dyDescent="0.2">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x14ac:dyDescent="0.2">
      <c r="A6" s="22" t="s">
        <v>3124</v>
      </c>
      <c r="B6" s="26">
        <v>37277</v>
      </c>
      <c r="C6" s="12"/>
      <c r="D6" s="388" t="s">
        <v>3128</v>
      </c>
      <c r="E6" s="389"/>
      <c r="F6" s="15" t="s">
        <v>237</v>
      </c>
      <c r="G6" s="12"/>
      <c r="H6" s="12"/>
      <c r="I6" s="12"/>
      <c r="J6" s="357">
        <f>SUM(Skriveni!G2:G1561)</f>
        <v>72233663.131000027</v>
      </c>
      <c r="K6" s="357"/>
    </row>
    <row r="7" spans="1:11" ht="3" customHeight="1" x14ac:dyDescent="0.2">
      <c r="A7" s="12"/>
      <c r="B7" s="12"/>
      <c r="C7" s="12"/>
      <c r="D7" s="12"/>
      <c r="E7" s="12"/>
      <c r="F7" s="12"/>
      <c r="G7" s="12"/>
      <c r="H7" s="12"/>
      <c r="I7" s="12"/>
      <c r="J7" s="12"/>
      <c r="K7" s="12"/>
    </row>
    <row r="8" spans="1:11" ht="15" customHeight="1" x14ac:dyDescent="0.2">
      <c r="A8" s="22" t="s">
        <v>3125</v>
      </c>
      <c r="B8" s="27">
        <v>3838099</v>
      </c>
      <c r="C8" s="353" t="s">
        <v>860</v>
      </c>
      <c r="D8" s="354"/>
      <c r="E8" s="354"/>
      <c r="F8" s="354"/>
      <c r="G8" s="354"/>
      <c r="H8" s="355"/>
      <c r="I8" s="167" t="s">
        <v>867</v>
      </c>
      <c r="J8" s="358" t="s">
        <v>3132</v>
      </c>
      <c r="K8" s="358"/>
    </row>
    <row r="9" spans="1:11" ht="3" customHeight="1" x14ac:dyDescent="0.2">
      <c r="A9" s="12"/>
      <c r="B9" s="12"/>
      <c r="C9" s="12"/>
      <c r="D9" s="12"/>
      <c r="E9" s="12"/>
      <c r="F9" s="12"/>
      <c r="G9" s="12"/>
      <c r="H9" s="12"/>
      <c r="I9" s="12"/>
      <c r="J9" s="12"/>
      <c r="K9" s="12"/>
    </row>
    <row r="10" spans="1:11" ht="15" customHeight="1" x14ac:dyDescent="0.2">
      <c r="A10" s="22" t="s">
        <v>3126</v>
      </c>
      <c r="B10" s="393" t="s">
        <v>4293</v>
      </c>
      <c r="C10" s="394"/>
      <c r="D10" s="394"/>
      <c r="E10" s="394"/>
      <c r="F10" s="394"/>
      <c r="G10" s="394"/>
      <c r="H10" s="394"/>
      <c r="I10" s="395"/>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35000</v>
      </c>
      <c r="C12" s="385" t="s">
        <v>3624</v>
      </c>
      <c r="D12" s="386"/>
      <c r="E12" s="386"/>
      <c r="F12" s="386"/>
      <c r="G12" s="387"/>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9" t="s">
        <v>4294</v>
      </c>
      <c r="C14" s="380"/>
      <c r="D14" s="380"/>
      <c r="E14" s="380"/>
      <c r="F14" s="380"/>
      <c r="G14" s="381"/>
      <c r="H14" s="12"/>
      <c r="I14" s="12"/>
      <c r="J14" s="22" t="s">
        <v>3764</v>
      </c>
      <c r="K14" s="45">
        <v>50360608281</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59" t="str">
        <f>IF(B16&gt;0,LOOKUP(B16,A66:A74,B66:B74),"Razina nije upisana")</f>
        <v>Proračunski korisnik jedinice lokalne i područne (regionalne) samouprave</v>
      </c>
      <c r="D16" s="360"/>
      <c r="E16" s="360"/>
      <c r="F16" s="360"/>
      <c r="G16" s="360"/>
      <c r="H16" s="360"/>
      <c r="I16" s="360"/>
      <c r="J16" s="360"/>
      <c r="K16" s="360"/>
    </row>
    <row r="17" spans="1:11" ht="3" customHeight="1" x14ac:dyDescent="0.2">
      <c r="A17" s="13"/>
      <c r="B17" s="12"/>
      <c r="C17" s="170"/>
      <c r="D17" s="170"/>
      <c r="E17" s="170"/>
      <c r="F17" s="170"/>
      <c r="G17" s="170"/>
      <c r="H17" s="170"/>
      <c r="I17" s="170"/>
      <c r="J17" s="170"/>
      <c r="K17" s="170"/>
    </row>
    <row r="18" spans="1:11" ht="15" customHeight="1" x14ac:dyDescent="0.2">
      <c r="A18" s="22" t="s">
        <v>3129</v>
      </c>
      <c r="B18" s="29">
        <v>9004</v>
      </c>
      <c r="C18" s="359" t="str">
        <f xml:space="preserve"> IF(B18&gt;0,LOOKUP(B18,Sifre!A255:A869,Sifre!B255:B869),"Djelatnost nije upisana")</f>
        <v>Rad umjetničkih objekata</v>
      </c>
      <c r="D18" s="360"/>
      <c r="E18" s="360"/>
      <c r="F18" s="360"/>
      <c r="G18" s="360"/>
      <c r="H18" s="360"/>
      <c r="I18" s="360"/>
      <c r="J18" s="360"/>
      <c r="K18" s="360"/>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396</v>
      </c>
      <c r="C22" s="359" t="str">
        <f>IF(B22&gt;0, "Županija: " &amp; LOOKUP(H2,A83:A103,B83:B103) &amp; ", grad/općina: " &amp; LOOKUP(B22,A107:A663,B107:B663),"Šifra grada/općine nije upisana")</f>
        <v>Županija: BRODSKO-POSAVSKA, grad/općina: SLAVONSKI BROD</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3" t="s">
        <v>1978</v>
      </c>
      <c r="E24" s="404"/>
      <c r="F24" s="404"/>
      <c r="G24" s="12"/>
      <c r="H24" s="12"/>
      <c r="I24" s="12"/>
      <c r="J24" s="12"/>
      <c r="K24" s="12"/>
    </row>
    <row r="25" spans="1:11" ht="15" customHeight="1" x14ac:dyDescent="0.2">
      <c r="A25" s="367" t="s">
        <v>1462</v>
      </c>
      <c r="B25" s="39" t="str">
        <f>IF(SUM(Skriveni!C2:F642)=0,"NE", "DA")</f>
        <v>DA</v>
      </c>
      <c r="C25" s="382" t="s">
        <v>818</v>
      </c>
      <c r="D25" s="405"/>
      <c r="E25" s="82" t="str">
        <f>IF(AND(B25="DA",Kont!E23&gt;0),Kont!E23,"Nema")</f>
        <v>Nema</v>
      </c>
      <c r="F25" s="12"/>
      <c r="G25" s="22" t="s">
        <v>3680</v>
      </c>
      <c r="H25" s="371" t="s">
        <v>4295</v>
      </c>
      <c r="I25" s="402"/>
      <c r="J25" s="402"/>
      <c r="K25" s="372"/>
    </row>
    <row r="26" spans="1:11" ht="3" customHeight="1" x14ac:dyDescent="0.2">
      <c r="A26" s="368"/>
      <c r="B26" s="32"/>
      <c r="C26" s="33"/>
      <c r="D26" s="34"/>
      <c r="E26" s="35"/>
      <c r="G26" s="13"/>
      <c r="H26" s="12"/>
      <c r="I26" s="12"/>
      <c r="J26" s="12"/>
      <c r="K26" s="12"/>
    </row>
    <row r="27" spans="1:11" ht="15" customHeight="1" x14ac:dyDescent="0.2">
      <c r="A27" s="368"/>
      <c r="B27" s="39" t="str">
        <f>IF(SUM(Skriveni!C977:D1225)&lt;&gt;0,"DA","NE")</f>
        <v>DA</v>
      </c>
      <c r="C27" s="382" t="s">
        <v>2601</v>
      </c>
      <c r="D27" s="383"/>
      <c r="E27" s="82" t="str">
        <f>IF(AND(B27="DA",Kont!E261&gt;0),Kont!E261,"Nema")</f>
        <v>Nema</v>
      </c>
      <c r="F27" s="12"/>
      <c r="G27" s="22" t="s">
        <v>3681</v>
      </c>
      <c r="H27" s="371" t="s">
        <v>4297</v>
      </c>
      <c r="I27" s="372"/>
      <c r="J27" s="13" t="s">
        <v>1447</v>
      </c>
      <c r="K27" s="15" t="s">
        <v>4296</v>
      </c>
    </row>
    <row r="28" spans="1:11" ht="3" customHeight="1" x14ac:dyDescent="0.2">
      <c r="A28" s="368"/>
      <c r="F28" s="12"/>
      <c r="G28" s="12"/>
      <c r="H28" s="12"/>
      <c r="I28" s="12"/>
      <c r="J28" s="12"/>
      <c r="K28" s="12"/>
    </row>
    <row r="29" spans="1:11" ht="15" customHeight="1" x14ac:dyDescent="0.2">
      <c r="A29" s="368"/>
      <c r="B29" s="39" t="str">
        <f>IF(SUM(Skriveni!C1287:D1422)&lt;&gt;0,"DA","NE")</f>
        <v>DA</v>
      </c>
      <c r="C29" s="406" t="s">
        <v>819</v>
      </c>
      <c r="D29" s="407"/>
      <c r="E29" s="82" t="str">
        <f>IF(AND(B29="DA",Kont!E297&gt;0),Kont!E297,"Nema")</f>
        <v>Nema</v>
      </c>
      <c r="F29" s="12"/>
      <c r="G29" s="22" t="s">
        <v>1448</v>
      </c>
      <c r="H29" s="374" t="s">
        <v>4298</v>
      </c>
      <c r="I29" s="375"/>
      <c r="J29" s="375"/>
      <c r="K29" s="376"/>
    </row>
    <row r="30" spans="1:11" ht="3" customHeight="1" x14ac:dyDescent="0.2">
      <c r="A30" s="368"/>
      <c r="B30" s="32"/>
      <c r="C30" s="33"/>
      <c r="D30" s="34"/>
      <c r="E30" s="35"/>
      <c r="F30" s="12"/>
      <c r="G30" s="12"/>
      <c r="H30" s="12"/>
      <c r="I30" s="12"/>
      <c r="J30" s="12"/>
      <c r="K30" s="12"/>
    </row>
    <row r="31" spans="1:11" ht="15" customHeight="1" x14ac:dyDescent="0.2">
      <c r="A31" s="368"/>
      <c r="B31" s="183" t="s">
        <v>4301</v>
      </c>
      <c r="C31" s="382" t="s">
        <v>1591</v>
      </c>
      <c r="D31" s="383"/>
      <c r="E31" s="82" t="str">
        <f>IF(Kont!E292&gt;0,Kont!E292,"Nema")</f>
        <v>Nema</v>
      </c>
      <c r="F31" s="12"/>
      <c r="G31" s="13" t="s">
        <v>1449</v>
      </c>
      <c r="H31" s="374" t="s">
        <v>4299</v>
      </c>
      <c r="I31" s="375"/>
      <c r="J31" s="375"/>
      <c r="K31" s="376"/>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IF(SUM(Skriveni!C1468:C1550)&lt;&gt;0,"DA","NE")</f>
        <v>DA</v>
      </c>
      <c r="C33" s="377" t="s">
        <v>1210</v>
      </c>
      <c r="D33" s="378"/>
      <c r="E33" s="82" t="str">
        <f>IF(AND(B33="DA",Kont!E288&gt;0),Kont!E288,"Nema")</f>
        <v>Nema</v>
      </c>
      <c r="F33" s="12"/>
      <c r="G33" s="22" t="s">
        <v>735</v>
      </c>
      <c r="H33" s="379" t="s">
        <v>4300</v>
      </c>
      <c r="I33" s="380"/>
      <c r="J33" s="380"/>
      <c r="K33" s="381"/>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3" t="s">
        <v>2060</v>
      </c>
      <c r="C38" s="373"/>
      <c r="D38" s="373"/>
      <c r="E38" s="373"/>
      <c r="F38" s="373"/>
      <c r="G38" s="373"/>
      <c r="H38" s="373"/>
      <c r="I38" s="109" t="s">
        <v>1683</v>
      </c>
      <c r="J38" s="110" t="s">
        <v>1685</v>
      </c>
      <c r="K38" s="111" t="s">
        <v>1684</v>
      </c>
    </row>
    <row r="39" spans="1:11" ht="12.95" customHeight="1" x14ac:dyDescent="0.2">
      <c r="A39" s="364" t="s">
        <v>3714</v>
      </c>
      <c r="B39" s="399" t="str">
        <f>PRRAS!B12</f>
        <v xml:space="preserve">PRIHODI POSLOVANJA (AOP 002+039+045+074+105+123+130+136) </v>
      </c>
      <c r="C39" s="399"/>
      <c r="D39" s="399"/>
      <c r="E39" s="399"/>
      <c r="F39" s="399"/>
      <c r="G39" s="399"/>
      <c r="H39" s="399"/>
      <c r="I39" s="112">
        <f>PRRAS!C12</f>
        <v>1</v>
      </c>
      <c r="J39" s="113">
        <f>PRRAS!D12</f>
        <v>3321396</v>
      </c>
      <c r="K39" s="114">
        <f>PRRAS!E12</f>
        <v>3245873</v>
      </c>
    </row>
    <row r="40" spans="1:11" ht="12.95" customHeight="1" x14ac:dyDescent="0.2">
      <c r="A40" s="365"/>
      <c r="B40" s="370" t="str">
        <f>PRRAS!B159</f>
        <v xml:space="preserve">RASHODI POSLOVANJA (AOP 149+160+193+212+221+246+257) </v>
      </c>
      <c r="C40" s="396"/>
      <c r="D40" s="396"/>
      <c r="E40" s="396"/>
      <c r="F40" s="396"/>
      <c r="G40" s="396"/>
      <c r="H40" s="396"/>
      <c r="I40" s="115">
        <f>PRRAS!C159</f>
        <v>148</v>
      </c>
      <c r="J40" s="116">
        <f>PRRAS!D159</f>
        <v>2816782</v>
      </c>
      <c r="K40" s="117">
        <f>PRRAS!E159</f>
        <v>2998351</v>
      </c>
    </row>
    <row r="41" spans="1:11" ht="12.95" customHeight="1" x14ac:dyDescent="0.2">
      <c r="A41" s="365"/>
      <c r="B41" s="370" t="str">
        <f>PRRAS!B648</f>
        <v>Višak prihoda i primitaka raspoloživ u sljedećem razdoblju (AOP 631+633-632-634)</v>
      </c>
      <c r="C41" s="396"/>
      <c r="D41" s="396"/>
      <c r="E41" s="396"/>
      <c r="F41" s="396"/>
      <c r="G41" s="396"/>
      <c r="H41" s="396"/>
      <c r="I41" s="115">
        <f>PRRAS!C648</f>
        <v>635</v>
      </c>
      <c r="J41" s="116">
        <f>PRRAS!D648</f>
        <v>24491</v>
      </c>
      <c r="K41" s="117">
        <f>PRRAS!E648</f>
        <v>32342</v>
      </c>
    </row>
    <row r="42" spans="1:11" ht="12.95" customHeight="1" x14ac:dyDescent="0.2">
      <c r="A42" s="366"/>
      <c r="B42" s="397" t="str">
        <f>PRRAS!B649</f>
        <v>Manjak prihoda i primitaka za pokriće u sljedećem razdoblju (AOP 632+634-631-633)</v>
      </c>
      <c r="C42" s="398"/>
      <c r="D42" s="398"/>
      <c r="E42" s="398"/>
      <c r="F42" s="398"/>
      <c r="G42" s="398"/>
      <c r="H42" s="398"/>
      <c r="I42" s="118">
        <f>PRRAS!C649</f>
        <v>636</v>
      </c>
      <c r="J42" s="119">
        <f>PRRAS!D649</f>
        <v>0</v>
      </c>
      <c r="K42" s="120">
        <f>PRRAS!E649</f>
        <v>0</v>
      </c>
    </row>
    <row r="43" spans="1:11" ht="12.95" customHeight="1" x14ac:dyDescent="0.2">
      <c r="A43" s="364" t="s">
        <v>2272</v>
      </c>
      <c r="B43" s="399" t="str">
        <f>Bil!B13</f>
        <v>Nefinancijska imovina (AOP 003+007+046+047+051+058)</v>
      </c>
      <c r="C43" s="400"/>
      <c r="D43" s="400"/>
      <c r="E43" s="400"/>
      <c r="F43" s="400"/>
      <c r="G43" s="400"/>
      <c r="H43" s="400"/>
      <c r="I43" s="112">
        <f>Bil!C13</f>
        <v>2</v>
      </c>
      <c r="J43" s="113">
        <f>Bil!D13</f>
        <v>6859312</v>
      </c>
      <c r="K43" s="114">
        <f>Bil!E13</f>
        <v>6827372</v>
      </c>
    </row>
    <row r="44" spans="1:11" ht="12.95" customHeight="1" x14ac:dyDescent="0.2">
      <c r="A44" s="365"/>
      <c r="B44" s="370" t="str">
        <f>Bil!B74</f>
        <v>Financijska imovina (AOP 064+073+081+112+128+140+157+158)</v>
      </c>
      <c r="C44" s="396"/>
      <c r="D44" s="396"/>
      <c r="E44" s="396"/>
      <c r="F44" s="396"/>
      <c r="G44" s="396"/>
      <c r="H44" s="396"/>
      <c r="I44" s="115">
        <f>Bil!C74</f>
        <v>63</v>
      </c>
      <c r="J44" s="116">
        <f>Bil!D74</f>
        <v>94792</v>
      </c>
      <c r="K44" s="117">
        <f>Bil!E74</f>
        <v>107689</v>
      </c>
    </row>
    <row r="45" spans="1:11" ht="12.95" customHeight="1" x14ac:dyDescent="0.2">
      <c r="A45" s="365"/>
      <c r="B45" s="370" t="str">
        <f>Bil!B174</f>
        <v xml:space="preserve">Obveze (AOP 164+175+176+192+220) </v>
      </c>
      <c r="C45" s="396"/>
      <c r="D45" s="396"/>
      <c r="E45" s="396"/>
      <c r="F45" s="396"/>
      <c r="G45" s="396"/>
      <c r="H45" s="396"/>
      <c r="I45" s="115">
        <f>Bil!C174</f>
        <v>163</v>
      </c>
      <c r="J45" s="116">
        <f>Bil!D174</f>
        <v>75313</v>
      </c>
      <c r="K45" s="117">
        <f>Bil!E174</f>
        <v>78985</v>
      </c>
    </row>
    <row r="46" spans="1:11" ht="12.95" customHeight="1" x14ac:dyDescent="0.2">
      <c r="A46" s="366"/>
      <c r="B46" s="397" t="str">
        <f>Bil!B234</f>
        <v>Vlastiti izvori (224 + 232 - 236 + 240 do 242)</v>
      </c>
      <c r="C46" s="398"/>
      <c r="D46" s="398"/>
      <c r="E46" s="398"/>
      <c r="F46" s="398"/>
      <c r="G46" s="398"/>
      <c r="H46" s="398"/>
      <c r="I46" s="118">
        <f>Bil!C234</f>
        <v>223</v>
      </c>
      <c r="J46" s="119">
        <f>Bil!D234</f>
        <v>6878791</v>
      </c>
      <c r="K46" s="120">
        <f>Bil!E234</f>
        <v>6856075</v>
      </c>
    </row>
    <row r="47" spans="1:11" ht="12.95" customHeight="1" x14ac:dyDescent="0.2">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5" customHeight="1" x14ac:dyDescent="0.2">
      <c r="A48" s="365"/>
      <c r="B48" s="370" t="str">
        <f>RasF!B42</f>
        <v>Ekonomski poslovi (AOP 032+035+039+046+050+056+057+062+070)</v>
      </c>
      <c r="C48" s="370"/>
      <c r="D48" s="370"/>
      <c r="E48" s="370"/>
      <c r="F48" s="370"/>
      <c r="G48" s="370"/>
      <c r="H48" s="370"/>
      <c r="I48" s="115">
        <f>RasF!C42</f>
        <v>31</v>
      </c>
      <c r="J48" s="116">
        <f>RasF!D42</f>
        <v>0</v>
      </c>
      <c r="K48" s="117">
        <f>RasF!E42</f>
        <v>0</v>
      </c>
    </row>
    <row r="49" spans="1:11" ht="12.95" customHeight="1" x14ac:dyDescent="0.2">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x14ac:dyDescent="0.2">
      <c r="A50" s="365"/>
      <c r="B50" s="370" t="str">
        <f>RasF!B121</f>
        <v>Obrazovanje (AOP 111+114+117+118+121 do 124)</v>
      </c>
      <c r="C50" s="370"/>
      <c r="D50" s="370"/>
      <c r="E50" s="370"/>
      <c r="F50" s="370"/>
      <c r="G50" s="370"/>
      <c r="H50" s="370"/>
      <c r="I50" s="115">
        <f>RasF!C121</f>
        <v>110</v>
      </c>
      <c r="J50" s="116">
        <f>RasF!D121</f>
        <v>0</v>
      </c>
      <c r="K50" s="117">
        <f>RasF!E121</f>
        <v>0</v>
      </c>
    </row>
    <row r="51" spans="1:11" ht="12.95" customHeight="1" x14ac:dyDescent="0.2">
      <c r="A51" s="366"/>
      <c r="B51" s="397" t="str">
        <f>RasF!B148</f>
        <v>Kontrolni zbroj (AOP 001+018+024+031+071+078+085+103+110+125)</v>
      </c>
      <c r="C51" s="397"/>
      <c r="D51" s="397"/>
      <c r="E51" s="397"/>
      <c r="F51" s="397"/>
      <c r="G51" s="397"/>
      <c r="H51" s="397"/>
      <c r="I51" s="118">
        <f>RasF!C148</f>
        <v>137</v>
      </c>
      <c r="J51" s="119">
        <f>RasF!D148</f>
        <v>3317747</v>
      </c>
      <c r="K51" s="120">
        <f>RasF!E148</f>
        <v>3238022</v>
      </c>
    </row>
    <row r="52" spans="1:11" ht="12.95" customHeight="1" x14ac:dyDescent="0.2">
      <c r="A52" s="364" t="s">
        <v>2271</v>
      </c>
      <c r="B52" s="400" t="str">
        <f>PVRIO!B12</f>
        <v>Promjene u vrijednosti i obujmu imovine (AOP 002+018)</v>
      </c>
      <c r="C52" s="400"/>
      <c r="D52" s="400"/>
      <c r="E52" s="400"/>
      <c r="F52" s="400"/>
      <c r="G52" s="400"/>
      <c r="H52" s="400"/>
      <c r="I52" s="112">
        <f>PVRIO!C12</f>
        <v>1</v>
      </c>
      <c r="J52" s="113">
        <f>PVRIO!D12</f>
        <v>0</v>
      </c>
      <c r="K52" s="114">
        <f>PVRIO!E12</f>
        <v>0</v>
      </c>
    </row>
    <row r="53" spans="1:11" ht="12.95" customHeight="1" x14ac:dyDescent="0.2">
      <c r="A53" s="365"/>
      <c r="B53" s="396" t="str">
        <f>PVRIO!B29</f>
        <v>Promjene u obujmu imovine (AOP 019+026)</v>
      </c>
      <c r="C53" s="396"/>
      <c r="D53" s="396"/>
      <c r="E53" s="396"/>
      <c r="F53" s="396"/>
      <c r="G53" s="396"/>
      <c r="H53" s="396"/>
      <c r="I53" s="115">
        <f>PVRIO!C29</f>
        <v>18</v>
      </c>
      <c r="J53" s="116">
        <f>PVRIO!D29</f>
        <v>0</v>
      </c>
      <c r="K53" s="117">
        <f>PVRIO!E29</f>
        <v>0</v>
      </c>
    </row>
    <row r="54" spans="1:11" ht="12.95" customHeight="1" x14ac:dyDescent="0.2">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5" customHeight="1" x14ac:dyDescent="0.2">
      <c r="A55" s="366"/>
      <c r="B55" s="398" t="str">
        <f>PVRIO!B51</f>
        <v>Promjene u obujmu obveza (AOP 041 do 044)</v>
      </c>
      <c r="C55" s="398"/>
      <c r="D55" s="398"/>
      <c r="E55" s="398"/>
      <c r="F55" s="398"/>
      <c r="G55" s="398"/>
      <c r="H55" s="398"/>
      <c r="I55" s="118">
        <f>PVRIO!C51</f>
        <v>40</v>
      </c>
      <c r="J55" s="119">
        <f>PVRIO!D51</f>
        <v>0</v>
      </c>
      <c r="K55" s="120">
        <f>PVRIO!E51</f>
        <v>0</v>
      </c>
    </row>
    <row r="56" spans="1:11" ht="12.95" customHeight="1" x14ac:dyDescent="0.2">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75313</v>
      </c>
    </row>
    <row r="57" spans="1:11" ht="12.95" customHeight="1" x14ac:dyDescent="0.2">
      <c r="A57" s="365"/>
      <c r="B57" s="370" t="str">
        <f>Obv!B47</f>
        <v>Stanje obveza na kraju izvještajnog razdoblja (AOP 001+002-019) i (AOP 037+090)</v>
      </c>
      <c r="C57" s="370"/>
      <c r="D57" s="370"/>
      <c r="E57" s="370"/>
      <c r="F57" s="370"/>
      <c r="G57" s="370"/>
      <c r="H57" s="370"/>
      <c r="I57" s="115">
        <f>Obv!C47</f>
        <v>36</v>
      </c>
      <c r="J57" s="116" t="s">
        <v>3568</v>
      </c>
      <c r="K57" s="117">
        <f>Obv!D47</f>
        <v>78985</v>
      </c>
    </row>
    <row r="58" spans="1:11" ht="12.95" customHeight="1" x14ac:dyDescent="0.2">
      <c r="A58" s="365"/>
      <c r="B58" s="370" t="str">
        <f>Obv!B48</f>
        <v>Stanje dospjelih obveza na kraju izvještajnog razdoblja (AOP 038+043+079+084)</v>
      </c>
      <c r="C58" s="370"/>
      <c r="D58" s="370"/>
      <c r="E58" s="370"/>
      <c r="F58" s="370"/>
      <c r="G58" s="370"/>
      <c r="H58" s="370"/>
      <c r="I58" s="115">
        <f>Obv!C48</f>
        <v>37</v>
      </c>
      <c r="J58" s="116" t="s">
        <v>3568</v>
      </c>
      <c r="K58" s="117">
        <f>Obv!D48</f>
        <v>78985</v>
      </c>
    </row>
    <row r="59" spans="1:11" ht="12.95" customHeight="1" x14ac:dyDescent="0.2">
      <c r="A59" s="366"/>
      <c r="B59" s="397" t="str">
        <f>Obv!B101</f>
        <v>Stanje nedospjelih obveza na kraju izvještajnog razdoblja (AOP 091 do 094)</v>
      </c>
      <c r="C59" s="397"/>
      <c r="D59" s="397"/>
      <c r="E59" s="397"/>
      <c r="F59" s="397"/>
      <c r="G59" s="397"/>
      <c r="H59" s="397"/>
      <c r="I59" s="118">
        <f>Obv!C101</f>
        <v>90</v>
      </c>
      <c r="J59" s="119" t="s">
        <v>3568</v>
      </c>
      <c r="K59" s="120">
        <f>Obv!D101</f>
        <v>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90" t="s">
        <v>3716</v>
      </c>
      <c r="B63" s="390"/>
      <c r="C63" s="390"/>
      <c r="D63" s="390"/>
      <c r="E63" s="16"/>
      <c r="F63" s="21"/>
      <c r="G63" s="16"/>
      <c r="H63" s="391" t="s">
        <v>3135</v>
      </c>
      <c r="I63" s="392"/>
      <c r="J63" s="392"/>
      <c r="K63" s="39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617" activePane="bottomLeft" state="frozen"/>
      <selection pane="bottomLeft" activeCell="E998" sqref="E99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37277</v>
      </c>
      <c r="C4" s="414"/>
      <c r="D4" s="414"/>
      <c r="E4" s="415">
        <f>SUM(Skriveni!G2:G976)</f>
        <v>45274737.561999999</v>
      </c>
      <c r="F4" s="416"/>
    </row>
    <row r="5" spans="1:7" s="23" customFormat="1" ht="15" customHeight="1" x14ac:dyDescent="0.2">
      <c r="B5" s="413" t="str">
        <f>"Naziv: "&amp;IF(RefStr!B10&lt;&gt;"",RefStr!B10,"_______________________________________")</f>
        <v>Naziv: KAZALIŠNO KONCERTNA DVORANA IVANA BRLIĆ MAŽURANIĆ</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9004 Rad umjetničkih objekata</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3321396</v>
      </c>
      <c r="E12" s="147">
        <f>E13+E50+E56+E85+E116+E134+E141+E147</f>
        <v>3245873</v>
      </c>
      <c r="F12" s="148">
        <f>IF(D12&lt;&gt;0,IF(E12/D12&gt;=100,"&gt;&gt;100",E12/D12*100),"-")</f>
        <v>97.726166949078035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471685</v>
      </c>
      <c r="E56" s="147">
        <f>E57+E60+E65+E68+E71+E74+E77+E80</f>
        <v>169272</v>
      </c>
      <c r="F56" s="150">
        <f t="shared" si="0"/>
        <v>35.886661649193847</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471685</v>
      </c>
      <c r="E74" s="147">
        <f>SUM(E75:E76)</f>
        <v>169272</v>
      </c>
      <c r="F74" s="150">
        <f t="shared" si="0"/>
        <v>35.886661649193847</v>
      </c>
    </row>
    <row r="75" spans="1:6" s="8" customFormat="1" x14ac:dyDescent="0.2">
      <c r="A75" s="145" t="s">
        <v>1142</v>
      </c>
      <c r="B75" s="146" t="s">
        <v>3980</v>
      </c>
      <c r="C75" s="345">
        <v>64</v>
      </c>
      <c r="D75" s="149">
        <v>171685</v>
      </c>
      <c r="E75" s="149">
        <v>169272</v>
      </c>
      <c r="F75" s="148">
        <f t="shared" si="0"/>
        <v>98.594519031948053</v>
      </c>
    </row>
    <row r="76" spans="1:6" s="8" customFormat="1" x14ac:dyDescent="0.2">
      <c r="A76" s="145" t="s">
        <v>3981</v>
      </c>
      <c r="B76" s="146" t="s">
        <v>3982</v>
      </c>
      <c r="C76" s="345">
        <v>65</v>
      </c>
      <c r="D76" s="149">
        <v>300000</v>
      </c>
      <c r="E76" s="149"/>
      <c r="F76" s="148">
        <f t="shared" si="0"/>
        <v>0</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338405</v>
      </c>
      <c r="E116" s="147">
        <f>E117+E122+E130</f>
        <v>405420</v>
      </c>
      <c r="F116" s="150">
        <f t="shared" si="1"/>
        <v>119.80319439724589</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338405</v>
      </c>
      <c r="E122" s="147">
        <f>SUM(E123:E129)</f>
        <v>405420</v>
      </c>
      <c r="F122" s="150">
        <f t="shared" si="1"/>
        <v>119.80319439724589</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338405</v>
      </c>
      <c r="E127" s="149">
        <v>405420</v>
      </c>
      <c r="F127" s="148">
        <f t="shared" si="1"/>
        <v>119.80319439724589</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109551</v>
      </c>
      <c r="E134" s="147">
        <f>E135+E138</f>
        <v>148932</v>
      </c>
      <c r="F134" s="150">
        <f t="shared" si="1"/>
        <v>135.94764082482132</v>
      </c>
    </row>
    <row r="135" spans="1:6" s="8" customFormat="1" x14ac:dyDescent="0.2">
      <c r="A135" s="145">
        <v>661</v>
      </c>
      <c r="B135" s="146" t="s">
        <v>425</v>
      </c>
      <c r="C135" s="345">
        <v>124</v>
      </c>
      <c r="D135" s="147">
        <f>SUM(D136:D137)</f>
        <v>104551</v>
      </c>
      <c r="E135" s="147">
        <f>SUM(E136:E137)</f>
        <v>148932</v>
      </c>
      <c r="F135" s="150">
        <f t="shared" si="1"/>
        <v>142.44913965433136</v>
      </c>
    </row>
    <row r="136" spans="1:6" s="8" customFormat="1" x14ac:dyDescent="0.2">
      <c r="A136" s="145">
        <v>6614</v>
      </c>
      <c r="B136" s="146" t="s">
        <v>3893</v>
      </c>
      <c r="C136" s="345">
        <v>125</v>
      </c>
      <c r="D136" s="149">
        <v>12190</v>
      </c>
      <c r="E136" s="149">
        <v>10737</v>
      </c>
      <c r="F136" s="148">
        <f t="shared" si="1"/>
        <v>88.080393765381459</v>
      </c>
    </row>
    <row r="137" spans="1:6" s="8" customFormat="1" x14ac:dyDescent="0.2">
      <c r="A137" s="145">
        <v>6615</v>
      </c>
      <c r="B137" s="146" t="s">
        <v>3894</v>
      </c>
      <c r="C137" s="345">
        <v>126</v>
      </c>
      <c r="D137" s="149">
        <v>92361</v>
      </c>
      <c r="E137" s="149">
        <v>138195</v>
      </c>
      <c r="F137" s="148">
        <f t="shared" si="1"/>
        <v>149.62484165394486</v>
      </c>
    </row>
    <row r="138" spans="1:6" s="8" customFormat="1" x14ac:dyDescent="0.2">
      <c r="A138" s="145">
        <v>663</v>
      </c>
      <c r="B138" s="151" t="s">
        <v>426</v>
      </c>
      <c r="C138" s="345">
        <v>127</v>
      </c>
      <c r="D138" s="147">
        <f>SUM(D139:D140)</f>
        <v>5000</v>
      </c>
      <c r="E138" s="147">
        <f>SUM(E139:E140)</f>
        <v>0</v>
      </c>
      <c r="F138" s="150">
        <f t="shared" si="1"/>
        <v>0</v>
      </c>
    </row>
    <row r="139" spans="1:6" s="8" customFormat="1" x14ac:dyDescent="0.2">
      <c r="A139" s="145">
        <v>6631</v>
      </c>
      <c r="B139" s="146" t="s">
        <v>1502</v>
      </c>
      <c r="C139" s="345">
        <v>128</v>
      </c>
      <c r="D139" s="149">
        <v>5000</v>
      </c>
      <c r="E139" s="149"/>
      <c r="F139" s="148">
        <f t="shared" si="1"/>
        <v>0</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2401755</v>
      </c>
      <c r="E141" s="147">
        <f>E142+E146</f>
        <v>2513388</v>
      </c>
      <c r="F141" s="150">
        <f t="shared" si="1"/>
        <v>104.64797616742756</v>
      </c>
    </row>
    <row r="142" spans="1:6" s="8" customFormat="1" ht="24" x14ac:dyDescent="0.2">
      <c r="A142" s="145">
        <v>671</v>
      </c>
      <c r="B142" s="154" t="s">
        <v>1672</v>
      </c>
      <c r="C142" s="345">
        <v>131</v>
      </c>
      <c r="D142" s="147">
        <f>SUM(D143:D145)</f>
        <v>2401755</v>
      </c>
      <c r="E142" s="147">
        <f>SUM(E143:E145)</f>
        <v>2513388</v>
      </c>
      <c r="F142" s="150">
        <f t="shared" ref="F142:F205" si="2">IF(D142&lt;&gt;0,IF(E142/D142&gt;=100,"&gt;&gt;100",E142/D142*100),"-")</f>
        <v>104.64797616742756</v>
      </c>
    </row>
    <row r="143" spans="1:6" s="8" customFormat="1" x14ac:dyDescent="0.2">
      <c r="A143" s="145">
        <v>6711</v>
      </c>
      <c r="B143" s="146" t="s">
        <v>3582</v>
      </c>
      <c r="C143" s="345">
        <v>132</v>
      </c>
      <c r="D143" s="149">
        <v>2200790</v>
      </c>
      <c r="E143" s="149">
        <v>2343252</v>
      </c>
      <c r="F143" s="148">
        <f t="shared" si="2"/>
        <v>106.4732209797391</v>
      </c>
    </row>
    <row r="144" spans="1:6" s="8" customFormat="1" x14ac:dyDescent="0.2">
      <c r="A144" s="145">
        <v>6712</v>
      </c>
      <c r="B144" s="151" t="s">
        <v>2276</v>
      </c>
      <c r="C144" s="345">
        <v>133</v>
      </c>
      <c r="D144" s="149">
        <v>200965</v>
      </c>
      <c r="E144" s="149">
        <v>170136</v>
      </c>
      <c r="F144" s="148">
        <f t="shared" si="2"/>
        <v>84.659517826487189</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8861</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v>8861</v>
      </c>
      <c r="F158" s="148" t="str">
        <f t="shared" si="2"/>
        <v>-</v>
      </c>
    </row>
    <row r="159" spans="1:6" s="8" customFormat="1" x14ac:dyDescent="0.2">
      <c r="A159" s="145">
        <v>3</v>
      </c>
      <c r="B159" s="146" t="s">
        <v>430</v>
      </c>
      <c r="C159" s="345">
        <v>148</v>
      </c>
      <c r="D159" s="147">
        <f>D160+D171+D204+D223+D232+D257+D268</f>
        <v>2816782</v>
      </c>
      <c r="E159" s="147">
        <f>E160+E171+E204+E223+E232+E257+E268</f>
        <v>2998351</v>
      </c>
      <c r="F159" s="150">
        <f t="shared" si="2"/>
        <v>106.44597274478464</v>
      </c>
    </row>
    <row r="160" spans="1:6" s="8" customFormat="1" x14ac:dyDescent="0.2">
      <c r="A160" s="145">
        <v>31</v>
      </c>
      <c r="B160" s="146" t="s">
        <v>431</v>
      </c>
      <c r="C160" s="345">
        <v>149</v>
      </c>
      <c r="D160" s="147">
        <f>D161+D166+D167</f>
        <v>766143</v>
      </c>
      <c r="E160" s="147">
        <f>E161+E166+E167</f>
        <v>822066</v>
      </c>
      <c r="F160" s="150">
        <f t="shared" si="2"/>
        <v>107.29929008031138</v>
      </c>
    </row>
    <row r="161" spans="1:6" s="8" customFormat="1" x14ac:dyDescent="0.2">
      <c r="A161" s="145">
        <v>311</v>
      </c>
      <c r="B161" s="146" t="s">
        <v>432</v>
      </c>
      <c r="C161" s="345">
        <v>150</v>
      </c>
      <c r="D161" s="147">
        <f>SUM(D162:D165)</f>
        <v>634420</v>
      </c>
      <c r="E161" s="147">
        <f>SUM(E162:E165)</f>
        <v>649355</v>
      </c>
      <c r="F161" s="150">
        <f t="shared" si="2"/>
        <v>102.35411872261278</v>
      </c>
    </row>
    <row r="162" spans="1:6" s="8" customFormat="1" x14ac:dyDescent="0.2">
      <c r="A162" s="145">
        <v>3111</v>
      </c>
      <c r="B162" s="146" t="s">
        <v>385</v>
      </c>
      <c r="C162" s="345">
        <v>151</v>
      </c>
      <c r="D162" s="149">
        <v>634420</v>
      </c>
      <c r="E162" s="149">
        <v>649355</v>
      </c>
      <c r="F162" s="148">
        <f t="shared" si="2"/>
        <v>102.35411872261278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22603</v>
      </c>
      <c r="E166" s="149">
        <v>61022</v>
      </c>
      <c r="F166" s="148">
        <f t="shared" si="2"/>
        <v>269.97301243197802</v>
      </c>
    </row>
    <row r="167" spans="1:6" s="8" customFormat="1" x14ac:dyDescent="0.2">
      <c r="A167" s="145">
        <v>313</v>
      </c>
      <c r="B167" s="146" t="s">
        <v>2853</v>
      </c>
      <c r="C167" s="345">
        <v>156</v>
      </c>
      <c r="D167" s="147">
        <f>SUM(D168:D170)</f>
        <v>109120</v>
      </c>
      <c r="E167" s="147">
        <f>SUM(E168:E170)</f>
        <v>111689</v>
      </c>
      <c r="F167" s="150">
        <f t="shared" si="2"/>
        <v>102.35428885630498</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98335</v>
      </c>
      <c r="E169" s="149">
        <v>100650</v>
      </c>
      <c r="F169" s="148">
        <f t="shared" si="2"/>
        <v>102.35419738648497</v>
      </c>
    </row>
    <row r="170" spans="1:6" s="8" customFormat="1" x14ac:dyDescent="0.2">
      <c r="A170" s="145">
        <v>3133</v>
      </c>
      <c r="B170" s="146" t="s">
        <v>264</v>
      </c>
      <c r="C170" s="345">
        <v>159</v>
      </c>
      <c r="D170" s="149">
        <v>10785</v>
      </c>
      <c r="E170" s="149">
        <v>11039</v>
      </c>
      <c r="F170" s="148">
        <f t="shared" si="2"/>
        <v>102.35512285581827</v>
      </c>
    </row>
    <row r="171" spans="1:6" s="8" customFormat="1" x14ac:dyDescent="0.2">
      <c r="A171" s="145">
        <v>32</v>
      </c>
      <c r="B171" s="146" t="s">
        <v>433</v>
      </c>
      <c r="C171" s="345">
        <v>160</v>
      </c>
      <c r="D171" s="147">
        <f>D172+D177+D185+D195+D196</f>
        <v>2050639</v>
      </c>
      <c r="E171" s="147">
        <f>E172+E177+E185+E195+E196</f>
        <v>2176285</v>
      </c>
      <c r="F171" s="150">
        <f t="shared" si="2"/>
        <v>106.12716328910159</v>
      </c>
    </row>
    <row r="172" spans="1:6" s="8" customFormat="1" x14ac:dyDescent="0.2">
      <c r="A172" s="145">
        <v>321</v>
      </c>
      <c r="B172" s="146" t="s">
        <v>3359</v>
      </c>
      <c r="C172" s="345">
        <v>161</v>
      </c>
      <c r="D172" s="147">
        <f>SUM(D173:D176)</f>
        <v>24250</v>
      </c>
      <c r="E172" s="147">
        <f>SUM(E173:E176)</f>
        <v>28022</v>
      </c>
      <c r="F172" s="150">
        <f t="shared" si="2"/>
        <v>115.55463917525772</v>
      </c>
    </row>
    <row r="173" spans="1:6" s="8" customFormat="1" x14ac:dyDescent="0.2">
      <c r="A173" s="145">
        <v>3211</v>
      </c>
      <c r="B173" s="146" t="s">
        <v>3243</v>
      </c>
      <c r="C173" s="345">
        <v>162</v>
      </c>
      <c r="D173" s="149">
        <v>7639</v>
      </c>
      <c r="E173" s="149">
        <v>10747</v>
      </c>
      <c r="F173" s="148">
        <f t="shared" si="2"/>
        <v>140.68595365885588</v>
      </c>
    </row>
    <row r="174" spans="1:6" s="8" customFormat="1" x14ac:dyDescent="0.2">
      <c r="A174" s="145">
        <v>3212</v>
      </c>
      <c r="B174" s="146" t="s">
        <v>108</v>
      </c>
      <c r="C174" s="345">
        <v>163</v>
      </c>
      <c r="D174" s="149">
        <v>13321</v>
      </c>
      <c r="E174" s="149">
        <v>13300</v>
      </c>
      <c r="F174" s="148">
        <f t="shared" si="2"/>
        <v>99.842354177614283</v>
      </c>
    </row>
    <row r="175" spans="1:6" s="8" customFormat="1" x14ac:dyDescent="0.2">
      <c r="A175" s="145">
        <v>3213</v>
      </c>
      <c r="B175" s="146" t="s">
        <v>2999</v>
      </c>
      <c r="C175" s="345">
        <v>164</v>
      </c>
      <c r="D175" s="149">
        <v>3290</v>
      </c>
      <c r="E175" s="149">
        <v>3975</v>
      </c>
      <c r="F175" s="148">
        <f t="shared" si="2"/>
        <v>120.82066869300911</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403039</v>
      </c>
      <c r="E177" s="147">
        <f>SUM(E178:E184)</f>
        <v>494566</v>
      </c>
      <c r="F177" s="150">
        <f t="shared" si="2"/>
        <v>122.70921672592479</v>
      </c>
    </row>
    <row r="178" spans="1:6" s="8" customFormat="1" x14ac:dyDescent="0.2">
      <c r="A178" s="145">
        <v>3221</v>
      </c>
      <c r="B178" s="146" t="s">
        <v>3000</v>
      </c>
      <c r="C178" s="345">
        <v>167</v>
      </c>
      <c r="D178" s="149">
        <v>40580</v>
      </c>
      <c r="E178" s="149">
        <v>35933</v>
      </c>
      <c r="F178" s="148">
        <f t="shared" si="2"/>
        <v>88.548546081813711</v>
      </c>
    </row>
    <row r="179" spans="1:6" s="8" customFormat="1" x14ac:dyDescent="0.2">
      <c r="A179" s="145">
        <v>3222</v>
      </c>
      <c r="B179" s="146" t="s">
        <v>3001</v>
      </c>
      <c r="C179" s="345">
        <v>168</v>
      </c>
      <c r="D179" s="149">
        <v>17399</v>
      </c>
      <c r="E179" s="149">
        <v>26313</v>
      </c>
      <c r="F179" s="148">
        <f t="shared" si="2"/>
        <v>151.23282947295823</v>
      </c>
    </row>
    <row r="180" spans="1:6" s="8" customFormat="1" x14ac:dyDescent="0.2">
      <c r="A180" s="145">
        <v>3223</v>
      </c>
      <c r="B180" s="146" t="s">
        <v>3002</v>
      </c>
      <c r="C180" s="345">
        <v>169</v>
      </c>
      <c r="D180" s="149">
        <v>288992</v>
      </c>
      <c r="E180" s="149">
        <v>367268</v>
      </c>
      <c r="F180" s="148">
        <f t="shared" si="2"/>
        <v>127.08587088915957</v>
      </c>
    </row>
    <row r="181" spans="1:6" s="8" customFormat="1" x14ac:dyDescent="0.2">
      <c r="A181" s="145">
        <v>3224</v>
      </c>
      <c r="B181" s="146" t="s">
        <v>2236</v>
      </c>
      <c r="C181" s="345">
        <v>170</v>
      </c>
      <c r="D181" s="149">
        <v>39225</v>
      </c>
      <c r="E181" s="149">
        <v>48076</v>
      </c>
      <c r="F181" s="148">
        <f t="shared" si="2"/>
        <v>122.5646908859146</v>
      </c>
    </row>
    <row r="182" spans="1:6" s="8" customFormat="1" x14ac:dyDescent="0.2">
      <c r="A182" s="145">
        <v>3225</v>
      </c>
      <c r="B182" s="146" t="s">
        <v>504</v>
      </c>
      <c r="C182" s="345">
        <v>171</v>
      </c>
      <c r="D182" s="149">
        <v>13986</v>
      </c>
      <c r="E182" s="149">
        <v>13996</v>
      </c>
      <c r="F182" s="148">
        <f t="shared" si="2"/>
        <v>100.07150007150007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2857</v>
      </c>
      <c r="E184" s="149">
        <v>2980</v>
      </c>
      <c r="F184" s="148">
        <f t="shared" si="2"/>
        <v>104.30521526076303</v>
      </c>
    </row>
    <row r="185" spans="1:6" s="8" customFormat="1" x14ac:dyDescent="0.2">
      <c r="A185" s="145">
        <v>323</v>
      </c>
      <c r="B185" s="146" t="s">
        <v>2312</v>
      </c>
      <c r="C185" s="345">
        <v>174</v>
      </c>
      <c r="D185" s="147">
        <f>SUM(D186:D194)</f>
        <v>765094</v>
      </c>
      <c r="E185" s="147">
        <f>SUM(E186:E194)</f>
        <v>1453091</v>
      </c>
      <c r="F185" s="150">
        <f t="shared" si="2"/>
        <v>189.92319897947181</v>
      </c>
    </row>
    <row r="186" spans="1:6" s="8" customFormat="1" x14ac:dyDescent="0.2">
      <c r="A186" s="145">
        <v>3231</v>
      </c>
      <c r="B186" s="146" t="s">
        <v>855</v>
      </c>
      <c r="C186" s="345">
        <v>175</v>
      </c>
      <c r="D186" s="149">
        <v>33850</v>
      </c>
      <c r="E186" s="149">
        <v>27503</v>
      </c>
      <c r="F186" s="148">
        <f t="shared" si="2"/>
        <v>81.24963072378138</v>
      </c>
    </row>
    <row r="187" spans="1:6" s="8" customFormat="1" x14ac:dyDescent="0.2">
      <c r="A187" s="145">
        <v>3232</v>
      </c>
      <c r="B187" s="146" t="s">
        <v>3870</v>
      </c>
      <c r="C187" s="345">
        <v>176</v>
      </c>
      <c r="D187" s="149">
        <v>42752</v>
      </c>
      <c r="E187" s="149">
        <v>71932</v>
      </c>
      <c r="F187" s="148">
        <f t="shared" si="2"/>
        <v>168.25411676646706</v>
      </c>
    </row>
    <row r="188" spans="1:6" s="8" customFormat="1" x14ac:dyDescent="0.2">
      <c r="A188" s="145">
        <v>3233</v>
      </c>
      <c r="B188" s="146" t="s">
        <v>3871</v>
      </c>
      <c r="C188" s="345">
        <v>177</v>
      </c>
      <c r="D188" s="149">
        <v>28188</v>
      </c>
      <c r="E188" s="149">
        <v>28688</v>
      </c>
      <c r="F188" s="148">
        <f t="shared" si="2"/>
        <v>101.77380445579681</v>
      </c>
    </row>
    <row r="189" spans="1:6" s="8" customFormat="1" x14ac:dyDescent="0.2">
      <c r="A189" s="145">
        <v>3234</v>
      </c>
      <c r="B189" s="146" t="s">
        <v>3872</v>
      </c>
      <c r="C189" s="345">
        <v>178</v>
      </c>
      <c r="D189" s="149">
        <v>42369</v>
      </c>
      <c r="E189" s="149">
        <v>24670</v>
      </c>
      <c r="F189" s="148">
        <f t="shared" si="2"/>
        <v>58.226533550473228</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280</v>
      </c>
      <c r="E191" s="149">
        <v>2079</v>
      </c>
      <c r="F191" s="148">
        <f t="shared" si="2"/>
        <v>742.5</v>
      </c>
    </row>
    <row r="192" spans="1:6" s="8" customFormat="1" x14ac:dyDescent="0.2">
      <c r="A192" s="145">
        <v>3237</v>
      </c>
      <c r="B192" s="146" t="s">
        <v>3875</v>
      </c>
      <c r="C192" s="345">
        <v>181</v>
      </c>
      <c r="D192" s="149">
        <v>436579</v>
      </c>
      <c r="E192" s="149">
        <v>1044374</v>
      </c>
      <c r="F192" s="148">
        <f t="shared" si="2"/>
        <v>239.21764445839125</v>
      </c>
    </row>
    <row r="193" spans="1:6" s="8" customFormat="1" x14ac:dyDescent="0.2">
      <c r="A193" s="145">
        <v>3238</v>
      </c>
      <c r="B193" s="146" t="s">
        <v>702</v>
      </c>
      <c r="C193" s="345">
        <v>182</v>
      </c>
      <c r="D193" s="149">
        <v>5000</v>
      </c>
      <c r="E193" s="149">
        <v>5000</v>
      </c>
      <c r="F193" s="148">
        <f t="shared" si="2"/>
        <v>100</v>
      </c>
    </row>
    <row r="194" spans="1:6" s="8" customFormat="1" x14ac:dyDescent="0.2">
      <c r="A194" s="145">
        <v>3239</v>
      </c>
      <c r="B194" s="146" t="s">
        <v>703</v>
      </c>
      <c r="C194" s="345">
        <v>183</v>
      </c>
      <c r="D194" s="149">
        <v>176076</v>
      </c>
      <c r="E194" s="149">
        <v>248845</v>
      </c>
      <c r="F194" s="148">
        <f t="shared" si="2"/>
        <v>141.3281764692519</v>
      </c>
    </row>
    <row r="195" spans="1:6" s="8" customFormat="1" x14ac:dyDescent="0.2">
      <c r="A195" s="145">
        <v>324</v>
      </c>
      <c r="B195" s="146" t="s">
        <v>3584</v>
      </c>
      <c r="C195" s="345">
        <v>184</v>
      </c>
      <c r="D195" s="149"/>
      <c r="E195" s="149">
        <v>67505</v>
      </c>
      <c r="F195" s="148" t="str">
        <f t="shared" si="2"/>
        <v>-</v>
      </c>
    </row>
    <row r="196" spans="1:6" s="8" customFormat="1" x14ac:dyDescent="0.2">
      <c r="A196" s="145">
        <v>329</v>
      </c>
      <c r="B196" s="146" t="s">
        <v>434</v>
      </c>
      <c r="C196" s="345">
        <v>185</v>
      </c>
      <c r="D196" s="147">
        <f>SUM(D197:D203)</f>
        <v>858256</v>
      </c>
      <c r="E196" s="147">
        <f>SUM(E197:E203)</f>
        <v>133101</v>
      </c>
      <c r="F196" s="150">
        <f t="shared" si="2"/>
        <v>15.508309874909118</v>
      </c>
    </row>
    <row r="197" spans="1:6" s="8" customFormat="1" x14ac:dyDescent="0.2">
      <c r="A197" s="145">
        <v>3291</v>
      </c>
      <c r="B197" s="151" t="s">
        <v>1965</v>
      </c>
      <c r="C197" s="345">
        <v>186</v>
      </c>
      <c r="D197" s="149">
        <v>44921</v>
      </c>
      <c r="E197" s="149">
        <v>49005</v>
      </c>
      <c r="F197" s="148">
        <f t="shared" si="2"/>
        <v>109.09151621735937</v>
      </c>
    </row>
    <row r="198" spans="1:6" s="8" customFormat="1" x14ac:dyDescent="0.2">
      <c r="A198" s="145">
        <v>3292</v>
      </c>
      <c r="B198" s="146" t="s">
        <v>1966</v>
      </c>
      <c r="C198" s="345">
        <v>187</v>
      </c>
      <c r="D198" s="149">
        <v>6191</v>
      </c>
      <c r="E198" s="149">
        <v>6413</v>
      </c>
      <c r="F198" s="148">
        <f t="shared" si="2"/>
        <v>103.58585042804069</v>
      </c>
    </row>
    <row r="199" spans="1:6" s="8" customFormat="1" x14ac:dyDescent="0.2">
      <c r="A199" s="145">
        <v>3293</v>
      </c>
      <c r="B199" s="146" t="s">
        <v>1967</v>
      </c>
      <c r="C199" s="345">
        <v>188</v>
      </c>
      <c r="D199" s="149">
        <v>17860</v>
      </c>
      <c r="E199" s="149">
        <v>71490</v>
      </c>
      <c r="F199" s="148">
        <f t="shared" si="2"/>
        <v>400.27995520716689</v>
      </c>
    </row>
    <row r="200" spans="1:6" s="8" customFormat="1" x14ac:dyDescent="0.2">
      <c r="A200" s="145">
        <v>3294</v>
      </c>
      <c r="B200" s="146" t="s">
        <v>2313</v>
      </c>
      <c r="C200" s="345">
        <v>189</v>
      </c>
      <c r="D200" s="149">
        <v>200</v>
      </c>
      <c r="E200" s="149">
        <v>400</v>
      </c>
      <c r="F200" s="148">
        <f t="shared" si="2"/>
        <v>200</v>
      </c>
    </row>
    <row r="201" spans="1:6" s="8" customFormat="1" x14ac:dyDescent="0.2">
      <c r="A201" s="145">
        <v>3295</v>
      </c>
      <c r="B201" s="146" t="s">
        <v>3585</v>
      </c>
      <c r="C201" s="345">
        <v>190</v>
      </c>
      <c r="D201" s="149">
        <v>2923</v>
      </c>
      <c r="E201" s="149">
        <v>3793</v>
      </c>
      <c r="F201" s="148">
        <f t="shared" si="2"/>
        <v>129.76394115634622</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786161</v>
      </c>
      <c r="E203" s="149">
        <v>2000</v>
      </c>
      <c r="F203" s="148">
        <f t="shared" si="2"/>
        <v>0.25440081611781812</v>
      </c>
    </row>
    <row r="204" spans="1:6" s="8" customFormat="1" x14ac:dyDescent="0.2">
      <c r="A204" s="145">
        <v>34</v>
      </c>
      <c r="B204" s="151" t="s">
        <v>435</v>
      </c>
      <c r="C204" s="345">
        <v>193</v>
      </c>
      <c r="D204" s="147">
        <f>D205+D210+D218</f>
        <v>0</v>
      </c>
      <c r="E204" s="147">
        <f>E205+E210+E218</f>
        <v>0</v>
      </c>
      <c r="F204" s="150" t="str">
        <f t="shared" si="2"/>
        <v>-</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0</v>
      </c>
      <c r="E218" s="147">
        <f>SUM(E219:E222)</f>
        <v>0</v>
      </c>
      <c r="F218" s="150" t="str">
        <f t="shared" si="3"/>
        <v>-</v>
      </c>
    </row>
    <row r="219" spans="1:6" s="8" customFormat="1" x14ac:dyDescent="0.2">
      <c r="A219" s="145">
        <v>3431</v>
      </c>
      <c r="B219" s="151" t="s">
        <v>3587</v>
      </c>
      <c r="C219" s="345">
        <v>208</v>
      </c>
      <c r="D219" s="149"/>
      <c r="E219" s="149"/>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2816782</v>
      </c>
      <c r="E292" s="147">
        <f>E159-E290+E291</f>
        <v>2998351</v>
      </c>
      <c r="F292" s="150">
        <f t="shared" si="4"/>
        <v>106.44597274478464</v>
      </c>
    </row>
    <row r="293" spans="1:6" s="8" customFormat="1" x14ac:dyDescent="0.2">
      <c r="A293" s="145" t="s">
        <v>1215</v>
      </c>
      <c r="B293" s="146" t="s">
        <v>3441</v>
      </c>
      <c r="C293" s="345">
        <v>282</v>
      </c>
      <c r="D293" s="147">
        <f>IF(D12&gt;=D292,D12-D292,0)</f>
        <v>504614</v>
      </c>
      <c r="E293" s="147">
        <f>IF(E12&gt;=E292,E12-E292,0)</f>
        <v>247522</v>
      </c>
      <c r="F293" s="150">
        <f t="shared" si="4"/>
        <v>49.051750446876227</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500965</v>
      </c>
      <c r="E353" s="147">
        <f>E354+E366+E399+E403+E405</f>
        <v>239671</v>
      </c>
      <c r="F353" s="150">
        <f t="shared" si="5"/>
        <v>47.841865200163689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53534</v>
      </c>
      <c r="E366" s="147">
        <f>E367+E372+E381+E386+E391+E394</f>
        <v>90325</v>
      </c>
      <c r="F366" s="150">
        <f t="shared" si="6"/>
        <v>168.72454888482088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43564</v>
      </c>
      <c r="E372" s="147">
        <f>SUM(E373:E380)</f>
        <v>80601</v>
      </c>
      <c r="F372" s="150">
        <f t="shared" si="6"/>
        <v>185.01744559728215</v>
      </c>
    </row>
    <row r="373" spans="1:6" s="8" customFormat="1" x14ac:dyDescent="0.2">
      <c r="A373" s="145">
        <v>4221</v>
      </c>
      <c r="B373" s="146" t="s">
        <v>3941</v>
      </c>
      <c r="C373" s="345">
        <v>361</v>
      </c>
      <c r="D373" s="149">
        <v>12244</v>
      </c>
      <c r="E373" s="149">
        <v>20969</v>
      </c>
      <c r="F373" s="148">
        <f t="shared" si="6"/>
        <v>171.25939235543939</v>
      </c>
    </row>
    <row r="374" spans="1:6" s="8" customFormat="1" x14ac:dyDescent="0.2">
      <c r="A374" s="145">
        <v>4222</v>
      </c>
      <c r="B374" s="146" t="s">
        <v>3965</v>
      </c>
      <c r="C374" s="345">
        <v>362</v>
      </c>
      <c r="D374" s="149">
        <v>456</v>
      </c>
      <c r="E374" s="149">
        <v>2496</v>
      </c>
      <c r="F374" s="148">
        <f t="shared" si="6"/>
        <v>547.36842105263156</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30864</v>
      </c>
      <c r="E379" s="149">
        <v>57136</v>
      </c>
      <c r="F379" s="148">
        <f t="shared" si="6"/>
        <v>185.1218247796786</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9970</v>
      </c>
      <c r="E394" s="147">
        <f>SUM(E395:E398)</f>
        <v>9724</v>
      </c>
      <c r="F394" s="150">
        <f t="shared" si="6"/>
        <v>97.532597793380134</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9970</v>
      </c>
      <c r="E396" s="149">
        <v>9724</v>
      </c>
      <c r="F396" s="148">
        <f t="shared" si="6"/>
        <v>97.532597793380134</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447431</v>
      </c>
      <c r="E405" s="147">
        <f>SUM(E406:E409)</f>
        <v>149346</v>
      </c>
      <c r="F405" s="150">
        <f t="shared" si="6"/>
        <v>33.378554458676305</v>
      </c>
    </row>
    <row r="406" spans="1:6" s="8" customFormat="1" x14ac:dyDescent="0.2">
      <c r="A406" s="145">
        <v>451</v>
      </c>
      <c r="B406" s="146" t="s">
        <v>2199</v>
      </c>
      <c r="C406" s="345">
        <v>394</v>
      </c>
      <c r="D406" s="149">
        <v>447431</v>
      </c>
      <c r="E406" s="149">
        <v>149346</v>
      </c>
      <c r="F406" s="148">
        <f t="shared" si="6"/>
        <v>33.378554458676305</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500965</v>
      </c>
      <c r="E411" s="147">
        <f>IF(E353&gt;=E301, E353-E301, 0)</f>
        <v>239671</v>
      </c>
      <c r="F411" s="150">
        <f t="shared" si="6"/>
        <v>47.841865200163689</v>
      </c>
    </row>
    <row r="412" spans="1:6" s="8" customFormat="1" x14ac:dyDescent="0.2">
      <c r="A412" s="145">
        <v>92212</v>
      </c>
      <c r="B412" s="146" t="s">
        <v>1133</v>
      </c>
      <c r="C412" s="345">
        <v>400</v>
      </c>
      <c r="D412" s="149">
        <v>20842</v>
      </c>
      <c r="E412" s="149">
        <v>24491</v>
      </c>
      <c r="F412" s="148">
        <f t="shared" si="6"/>
        <v>117.50791670665004</v>
      </c>
    </row>
    <row r="413" spans="1:6" s="8" customFormat="1" x14ac:dyDescent="0.2">
      <c r="A413" s="145">
        <v>92222</v>
      </c>
      <c r="B413" s="146" t="s">
        <v>2594</v>
      </c>
      <c r="C413" s="345">
        <v>401</v>
      </c>
      <c r="D413" s="149"/>
      <c r="E413" s="149">
        <v>0</v>
      </c>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3321396</v>
      </c>
      <c r="E415" s="147">
        <f>E12+E301</f>
        <v>3245873</v>
      </c>
      <c r="F415" s="150">
        <f t="shared" si="6"/>
        <v>97.726166949078035</v>
      </c>
    </row>
    <row r="416" spans="1:6" s="8" customFormat="1" x14ac:dyDescent="0.2">
      <c r="A416" s="145" t="s">
        <v>1215</v>
      </c>
      <c r="B416" s="146" t="s">
        <v>1993</v>
      </c>
      <c r="C416" s="345">
        <v>404</v>
      </c>
      <c r="D416" s="147">
        <f>D292+D353</f>
        <v>3317747</v>
      </c>
      <c r="E416" s="147">
        <f>E292+E353</f>
        <v>3238022</v>
      </c>
      <c r="F416" s="150">
        <f t="shared" si="6"/>
        <v>97.597013877188346</v>
      </c>
    </row>
    <row r="417" spans="1:6" s="8" customFormat="1" x14ac:dyDescent="0.2">
      <c r="A417" s="145" t="s">
        <v>1215</v>
      </c>
      <c r="B417" s="146" t="s">
        <v>1994</v>
      </c>
      <c r="C417" s="345">
        <v>405</v>
      </c>
      <c r="D417" s="147">
        <f>IF(D415&gt;=D416,D415-D416,0)</f>
        <v>3649</v>
      </c>
      <c r="E417" s="147">
        <f>IF(E415&gt;=E416,E415-E416,0)</f>
        <v>7851</v>
      </c>
      <c r="F417" s="150">
        <f t="shared" si="6"/>
        <v>215.15483694162785</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20842</v>
      </c>
      <c r="E419" s="147">
        <f>IF(E295-E296+E412-E413&gt;=0,E295-E296+E412-E413,0)</f>
        <v>24491</v>
      </c>
      <c r="F419" s="150">
        <f t="shared" si="6"/>
        <v>117.50791670665004</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3321396</v>
      </c>
      <c r="E642" s="147">
        <f>E415+E423</f>
        <v>3245873</v>
      </c>
      <c r="F642" s="148">
        <f t="shared" si="10"/>
        <v>97.726166949078035</v>
      </c>
    </row>
    <row r="643" spans="1:6" s="8" customFormat="1" x14ac:dyDescent="0.2">
      <c r="A643" s="145" t="s">
        <v>1215</v>
      </c>
      <c r="B643" s="146" t="s">
        <v>1246</v>
      </c>
      <c r="C643" s="345">
        <v>630</v>
      </c>
      <c r="D643" s="147">
        <f>D416+D531</f>
        <v>3317747</v>
      </c>
      <c r="E643" s="147">
        <f>E416+E531</f>
        <v>3238022</v>
      </c>
      <c r="F643" s="148">
        <f t="shared" si="10"/>
        <v>97.597013877188346</v>
      </c>
    </row>
    <row r="644" spans="1:6" s="8" customFormat="1" x14ac:dyDescent="0.2">
      <c r="A644" s="145" t="s">
        <v>1215</v>
      </c>
      <c r="B644" s="146" t="s">
        <v>1247</v>
      </c>
      <c r="C644" s="345">
        <v>631</v>
      </c>
      <c r="D644" s="147">
        <f>IF(D642&gt;=D643,D642-D643,0)</f>
        <v>3649</v>
      </c>
      <c r="E644" s="147">
        <f>IF(E642&gt;=E643,E642-E643,0)</f>
        <v>7851</v>
      </c>
      <c r="F644" s="148">
        <f t="shared" si="10"/>
        <v>215.15483694162785</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20842</v>
      </c>
      <c r="E646" s="147">
        <f>IF(E419-E420+E640-E641&gt;=0,E419-E420+E640-E641,0)</f>
        <v>24491</v>
      </c>
      <c r="F646" s="148">
        <f t="shared" si="10"/>
        <v>117.50791670665004</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24491</v>
      </c>
      <c r="E648" s="147">
        <f>IF(E644+E646-E645-E647&gt;=0,E644+E646-E645-E647,0)</f>
        <v>32342</v>
      </c>
      <c r="F648" s="148">
        <f t="shared" si="10"/>
        <v>132.05667388020089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128806</v>
      </c>
      <c r="E652" s="149">
        <v>94792</v>
      </c>
      <c r="F652" s="148">
        <f t="shared" ref="F652:F677" si="11">IF(D652&lt;&gt;0,IF(E652/D652&gt;=100,"&gt;&gt;100",E652/D652*100),"-")</f>
        <v>73.592845053801838</v>
      </c>
    </row>
    <row r="653" spans="1:6" s="8" customFormat="1" x14ac:dyDescent="0.2">
      <c r="A653" s="145" t="s">
        <v>1208</v>
      </c>
      <c r="B653" s="146" t="s">
        <v>2750</v>
      </c>
      <c r="C653" s="345">
        <v>639</v>
      </c>
      <c r="D653" s="149">
        <v>2380375</v>
      </c>
      <c r="E653" s="149">
        <v>2146682</v>
      </c>
      <c r="F653" s="148">
        <f t="shared" si="11"/>
        <v>90.182513259465424</v>
      </c>
    </row>
    <row r="654" spans="1:6" s="8" customFormat="1" x14ac:dyDescent="0.2">
      <c r="A654" s="145" t="s">
        <v>1209</v>
      </c>
      <c r="B654" s="146" t="s">
        <v>3586</v>
      </c>
      <c r="C654" s="345">
        <v>640</v>
      </c>
      <c r="D654" s="149">
        <v>2414389</v>
      </c>
      <c r="E654" s="149">
        <v>2133785</v>
      </c>
      <c r="F654" s="148">
        <f t="shared" si="11"/>
        <v>88.377846320539064</v>
      </c>
    </row>
    <row r="655" spans="1:6" s="8" customFormat="1" x14ac:dyDescent="0.2">
      <c r="A655" s="145">
        <v>11</v>
      </c>
      <c r="B655" s="146" t="s">
        <v>181</v>
      </c>
      <c r="C655" s="345">
        <v>641</v>
      </c>
      <c r="D655" s="147">
        <f>+D652+D653-D654</f>
        <v>94792</v>
      </c>
      <c r="E655" s="147">
        <f>+E652+E653-E654</f>
        <v>107689</v>
      </c>
      <c r="F655" s="150">
        <f t="shared" si="11"/>
        <v>113.60557852983375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7</v>
      </c>
      <c r="E657" s="149">
        <v>9</v>
      </c>
      <c r="F657" s="148">
        <f t="shared" si="11"/>
        <v>128.57142857142858</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7</v>
      </c>
      <c r="E659" s="149">
        <v>9</v>
      </c>
      <c r="F659" s="148">
        <f t="shared" si="11"/>
        <v>128.57142857142858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160000</v>
      </c>
      <c r="E678" s="149">
        <v>155000</v>
      </c>
      <c r="F678" s="148"/>
    </row>
    <row r="679" spans="1:6" s="8" customFormat="1" x14ac:dyDescent="0.2">
      <c r="A679" s="152">
        <v>63613</v>
      </c>
      <c r="B679" s="163" t="s">
        <v>4078</v>
      </c>
      <c r="C679" s="345">
        <v>665</v>
      </c>
      <c r="D679" s="149">
        <v>11685</v>
      </c>
      <c r="E679" s="149">
        <v>14272</v>
      </c>
      <c r="F679" s="148"/>
    </row>
    <row r="680" spans="1:6" s="8" customFormat="1" x14ac:dyDescent="0.2">
      <c r="A680" s="152">
        <v>63622</v>
      </c>
      <c r="B680" s="163" t="s">
        <v>4079</v>
      </c>
      <c r="C680" s="345">
        <v>666</v>
      </c>
      <c r="D680" s="149">
        <v>300000</v>
      </c>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338405</v>
      </c>
      <c r="E698" s="149">
        <v>405420</v>
      </c>
      <c r="F698" s="148">
        <f t="shared" si="12"/>
        <v>119.80319439724589</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9978</v>
      </c>
      <c r="E701" s="149"/>
      <c r="F701" s="148">
        <f>IF(D701&lt;&gt;0,IF(E701/D701&gt;=100,"&gt;&gt;100",E701/D701*100),"-")</f>
        <v>0</v>
      </c>
    </row>
    <row r="702" spans="1:6" s="8" customFormat="1" x14ac:dyDescent="0.2">
      <c r="A702" s="145">
        <v>31215</v>
      </c>
      <c r="B702" s="146" t="s">
        <v>1641</v>
      </c>
      <c r="C702" s="345">
        <v>688</v>
      </c>
      <c r="D702" s="149"/>
      <c r="E702" s="149">
        <v>41147</v>
      </c>
      <c r="F702" s="148" t="str">
        <f>IF(D702&lt;&gt;0,IF(E702/D702&gt;=100,"&gt;&gt;100",E702/D702*100),"-")</f>
        <v>-</v>
      </c>
    </row>
    <row r="703" spans="1:6" s="8" customFormat="1" x14ac:dyDescent="0.2">
      <c r="A703" s="145">
        <v>32121</v>
      </c>
      <c r="B703" s="146" t="s">
        <v>3797</v>
      </c>
      <c r="C703" s="345">
        <v>689</v>
      </c>
      <c r="D703" s="149">
        <v>13321</v>
      </c>
      <c r="E703" s="149">
        <v>13300</v>
      </c>
      <c r="F703" s="148">
        <f>IF(D703&lt;&gt;0,IF(E703/D703&gt;=100,"&gt;&gt;100",E703/D703*100),"-")</f>
        <v>99.842354177614283</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280</v>
      </c>
      <c r="E705" s="149">
        <v>2079</v>
      </c>
      <c r="F705" s="148">
        <f>IF(D705&lt;&gt;0,IF(E705/D705&gt;=100,"&gt;&gt;100",E705/D705*100),"-")</f>
        <v>742.5</v>
      </c>
    </row>
    <row r="706" spans="1:6" s="8" customFormat="1" x14ac:dyDescent="0.2">
      <c r="A706" s="145" t="s">
        <v>3798</v>
      </c>
      <c r="B706" s="146" t="s">
        <v>3799</v>
      </c>
      <c r="C706" s="345">
        <v>692</v>
      </c>
      <c r="D706" s="149">
        <v>265223</v>
      </c>
      <c r="E706" s="149">
        <v>260508</v>
      </c>
      <c r="F706" s="148">
        <f>IF(D706&lt;&gt;0,IF(E706/D706&gt;=100,"&gt;&gt;100",E706/D706*100),"-")</f>
        <v>98.22225070978007</v>
      </c>
    </row>
    <row r="707" spans="1:6" s="8" customFormat="1" x14ac:dyDescent="0.2">
      <c r="A707" s="145" t="s">
        <v>3800</v>
      </c>
      <c r="B707" s="146" t="s">
        <v>3801</v>
      </c>
      <c r="C707" s="345">
        <v>693</v>
      </c>
      <c r="D707" s="149">
        <v>86769</v>
      </c>
      <c r="E707" s="149">
        <v>73253</v>
      </c>
      <c r="F707" s="148">
        <f>IF(D707&lt;&gt;0,IF(E707/D707&gt;=100,"&gt;&gt;100",E707/D707*100),"-")</f>
        <v>84.423008217220442</v>
      </c>
    </row>
    <row r="708" spans="1:6" s="8" customFormat="1" x14ac:dyDescent="0.2">
      <c r="A708" s="145" t="s">
        <v>136</v>
      </c>
      <c r="B708" s="146" t="s">
        <v>1134</v>
      </c>
      <c r="C708" s="345">
        <v>694</v>
      </c>
      <c r="D708" s="149">
        <v>38740</v>
      </c>
      <c r="E708" s="149">
        <v>52172</v>
      </c>
      <c r="F708" s="148">
        <f>IF(D708&lt;&gt;0,IF(E708/D708&gt;=100,"&gt;&gt;100",E708/D708*100),"-")</f>
        <v>134.67217346411977</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44921</v>
      </c>
      <c r="E710" s="149">
        <v>49005</v>
      </c>
      <c r="F710" s="148">
        <f t="shared" ref="F710:F773" si="13">IF(D710&lt;&gt;0,IF(E710/D710&gt;=100,"&gt;&gt;100",E710/D710*100),"-")</f>
        <v>109.09151621735937</v>
      </c>
    </row>
    <row r="711" spans="1:6" s="8" customFormat="1" x14ac:dyDescent="0.2">
      <c r="A711" s="145" t="s">
        <v>1135</v>
      </c>
      <c r="B711" s="146" t="s">
        <v>1136</v>
      </c>
      <c r="C711" s="345">
        <v>697</v>
      </c>
      <c r="D711" s="149">
        <v>1256</v>
      </c>
      <c r="E711" s="149">
        <v>3318</v>
      </c>
      <c r="F711" s="148">
        <f t="shared" si="13"/>
        <v>264.171974522293</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KREŠIMIR PEIĆ</v>
      </c>
      <c r="D995" s="293"/>
      <c r="E995" s="293"/>
    </row>
    <row r="996" spans="1:5" ht="15" customHeight="1" x14ac:dyDescent="0.2">
      <c r="A996" s="291" t="str">
        <f>IF(RefStr!H27="","Telefon za kontakt: _________________","Telefon za kontakt: " &amp; RefStr!H27)</f>
        <v>Telefon za kontakt: 035492590</v>
      </c>
      <c r="C996" s="292"/>
    </row>
    <row r="997" spans="1:5" ht="15" customHeight="1" x14ac:dyDescent="0.2">
      <c r="A997" s="291" t="str">
        <f>IF(RefStr!H33="","Odgovorna osoba: _____________________________","Odgovorna osoba: " &amp; RefStr!H33)</f>
        <v>Odgovorna osoba: SANJA NUHANOVIĆ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90" activePane="bottomLeft" state="frozen"/>
      <selection pane="bottomLeft" activeCell="E247" sqref="E24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37277</v>
      </c>
      <c r="C4" s="414"/>
      <c r="D4" s="414"/>
      <c r="E4" s="415">
        <f>SUM(Skriveni!G977:G1286)</f>
        <v>23323871.872999996</v>
      </c>
      <c r="F4" s="416"/>
    </row>
    <row r="5" spans="1:6" ht="15" customHeight="1" x14ac:dyDescent="0.2">
      <c r="B5" s="413" t="str">
        <f>"Naziv: "&amp;IF(RefStr!B10&lt;&gt;"",RefStr!B10,"_______________________________________")</f>
        <v>Naziv: KAZALIŠNO KONCERTNA DVORANA IVANA BRLIĆ MAŽURANIĆ</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9004 Rad umjetničkih objekata</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6954104</v>
      </c>
      <c r="E12" s="96">
        <f>E13+E74</f>
        <v>6935061</v>
      </c>
      <c r="F12" s="123">
        <f t="shared" ref="F12:F75" si="0">IF(D12&gt;0,IF(E12/D12&gt;=100,"&gt;&gt;100",E12/D12*100),"-")</f>
        <v>99.726161702499709</v>
      </c>
    </row>
    <row r="13" spans="1:6" s="3" customFormat="1" x14ac:dyDescent="0.2">
      <c r="A13" s="132">
        <v>0</v>
      </c>
      <c r="B13" s="314" t="s">
        <v>521</v>
      </c>
      <c r="C13" s="303">
        <v>2</v>
      </c>
      <c r="D13" s="97">
        <f>D14+D18+D57+D58+D62+D69</f>
        <v>6859312</v>
      </c>
      <c r="E13" s="97">
        <f>E14+E18+E57+E58+E62+E69</f>
        <v>6827372</v>
      </c>
      <c r="F13" s="124">
        <f t="shared" si="0"/>
        <v>99.534355632168356</v>
      </c>
    </row>
    <row r="14" spans="1:6" s="3" customFormat="1" x14ac:dyDescent="0.2">
      <c r="A14" s="132" t="s">
        <v>1564</v>
      </c>
      <c r="B14" s="314" t="s">
        <v>3259</v>
      </c>
      <c r="C14" s="303">
        <v>3</v>
      </c>
      <c r="D14" s="97">
        <f>D15+D16-D17</f>
        <v>299292</v>
      </c>
      <c r="E14" s="97">
        <f>E15+E16-E17</f>
        <v>299292</v>
      </c>
      <c r="F14" s="124">
        <f t="shared" si="0"/>
        <v>100</v>
      </c>
    </row>
    <row r="15" spans="1:6" s="3" customFormat="1" x14ac:dyDescent="0.2">
      <c r="A15" s="132" t="s">
        <v>3260</v>
      </c>
      <c r="B15" s="314" t="s">
        <v>3261</v>
      </c>
      <c r="C15" s="303">
        <v>4</v>
      </c>
      <c r="D15" s="94">
        <v>299292</v>
      </c>
      <c r="E15" s="94">
        <v>299292</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6555008</v>
      </c>
      <c r="E18" s="97">
        <f>E19+E25+E35+E41+E47+E51</f>
        <v>6524441</v>
      </c>
      <c r="F18" s="124">
        <f t="shared" si="0"/>
        <v>99.533684779637184</v>
      </c>
    </row>
    <row r="19" spans="1:6" s="3" customFormat="1" x14ac:dyDescent="0.2">
      <c r="A19" s="315" t="s">
        <v>362</v>
      </c>
      <c r="B19" s="314" t="s">
        <v>3928</v>
      </c>
      <c r="C19" s="303">
        <v>8</v>
      </c>
      <c r="D19" s="97">
        <f>SUM(D20:D23)-D24</f>
        <v>6121246</v>
      </c>
      <c r="E19" s="97">
        <f>SUM(E20:E23)-E24</f>
        <v>6140482</v>
      </c>
      <c r="F19" s="124">
        <f t="shared" si="0"/>
        <v>100.31424974588508</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10265782</v>
      </c>
      <c r="E21" s="94">
        <v>10415128</v>
      </c>
      <c r="F21" s="125">
        <f t="shared" si="0"/>
        <v>101.4547941890837</v>
      </c>
    </row>
    <row r="22" spans="1:6" s="3" customFormat="1" x14ac:dyDescent="0.2">
      <c r="A22" s="132" t="s">
        <v>365</v>
      </c>
      <c r="B22" s="314" t="s">
        <v>2882</v>
      </c>
      <c r="C22" s="303">
        <v>11</v>
      </c>
      <c r="D22" s="94">
        <v>59082</v>
      </c>
      <c r="E22" s="94">
        <v>59082</v>
      </c>
      <c r="F22" s="125">
        <f t="shared" si="0"/>
        <v>100</v>
      </c>
    </row>
    <row r="23" spans="1:6" s="3" customFormat="1" x14ac:dyDescent="0.2">
      <c r="A23" s="132" t="s">
        <v>366</v>
      </c>
      <c r="B23" s="314" t="s">
        <v>384</v>
      </c>
      <c r="C23" s="303">
        <v>12</v>
      </c>
      <c r="D23" s="94">
        <v>47709</v>
      </c>
      <c r="E23" s="94">
        <v>47709</v>
      </c>
      <c r="F23" s="125">
        <f t="shared" si="0"/>
        <v>100</v>
      </c>
    </row>
    <row r="24" spans="1:6" s="3" customFormat="1" x14ac:dyDescent="0.2">
      <c r="A24" s="132" t="s">
        <v>367</v>
      </c>
      <c r="B24" s="314" t="s">
        <v>1155</v>
      </c>
      <c r="C24" s="303">
        <v>13</v>
      </c>
      <c r="D24" s="94">
        <v>4251327</v>
      </c>
      <c r="E24" s="94">
        <v>4381437</v>
      </c>
      <c r="F24" s="125">
        <f t="shared" si="0"/>
        <v>103.06045618226966</v>
      </c>
    </row>
    <row r="25" spans="1:6" s="3" customFormat="1" x14ac:dyDescent="0.2">
      <c r="A25" s="315" t="s">
        <v>1156</v>
      </c>
      <c r="B25" s="314" t="s">
        <v>1261</v>
      </c>
      <c r="C25" s="303">
        <v>14</v>
      </c>
      <c r="D25" s="97">
        <f>SUM(D26:D33)-D34</f>
        <v>371387</v>
      </c>
      <c r="E25" s="97">
        <f>SUM(E26:E33)-E34</f>
        <v>328256</v>
      </c>
      <c r="F25" s="124">
        <f t="shared" si="0"/>
        <v>88.386507874535198</v>
      </c>
    </row>
    <row r="26" spans="1:6" s="3" customFormat="1" x14ac:dyDescent="0.2">
      <c r="A26" s="132" t="s">
        <v>1157</v>
      </c>
      <c r="B26" s="314" t="s">
        <v>3941</v>
      </c>
      <c r="C26" s="303">
        <v>15</v>
      </c>
      <c r="D26" s="94">
        <v>331918</v>
      </c>
      <c r="E26" s="94">
        <v>352888</v>
      </c>
      <c r="F26" s="125">
        <f t="shared" si="0"/>
        <v>106.31782548701787</v>
      </c>
    </row>
    <row r="27" spans="1:6" s="3" customFormat="1" x14ac:dyDescent="0.2">
      <c r="A27" s="132" t="s">
        <v>1158</v>
      </c>
      <c r="B27" s="314" t="s">
        <v>3965</v>
      </c>
      <c r="C27" s="303">
        <v>16</v>
      </c>
      <c r="D27" s="94">
        <v>31005</v>
      </c>
      <c r="E27" s="94">
        <v>33501</v>
      </c>
      <c r="F27" s="125">
        <f t="shared" si="0"/>
        <v>108.0503144654088</v>
      </c>
    </row>
    <row r="28" spans="1:6" s="3" customFormat="1" x14ac:dyDescent="0.2">
      <c r="A28" s="132" t="s">
        <v>1159</v>
      </c>
      <c r="B28" s="314" t="s">
        <v>3943</v>
      </c>
      <c r="C28" s="303">
        <v>17</v>
      </c>
      <c r="D28" s="94">
        <v>24756</v>
      </c>
      <c r="E28" s="94">
        <v>24756</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26562</v>
      </c>
      <c r="E31" s="94">
        <v>40132</v>
      </c>
      <c r="F31" s="125">
        <f t="shared" si="0"/>
        <v>151.08802048038552</v>
      </c>
    </row>
    <row r="32" spans="1:6" s="3" customFormat="1" x14ac:dyDescent="0.2">
      <c r="A32" s="272" t="s">
        <v>2452</v>
      </c>
      <c r="B32" s="314" t="s">
        <v>3947</v>
      </c>
      <c r="C32" s="303">
        <v>21</v>
      </c>
      <c r="D32" s="94">
        <v>1937711</v>
      </c>
      <c r="E32" s="94">
        <v>1981277</v>
      </c>
      <c r="F32" s="125">
        <f t="shared" si="0"/>
        <v>102.24832289231986</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1980565</v>
      </c>
      <c r="E34" s="94">
        <v>2104298</v>
      </c>
      <c r="F34" s="125">
        <f t="shared" si="0"/>
        <v>106.24735870824739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38000</v>
      </c>
      <c r="E41" s="97">
        <f>SUM(E42:E45)-E46</f>
        <v>38000</v>
      </c>
      <c r="F41" s="124">
        <f t="shared" si="0"/>
        <v>100</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v>38000</v>
      </c>
      <c r="E43" s="94">
        <v>38000</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24375</v>
      </c>
      <c r="E51" s="97">
        <f>SUM(E52:E55)-E56</f>
        <v>17703</v>
      </c>
      <c r="F51" s="124">
        <f t="shared" si="0"/>
        <v>72.6276923076923</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87631</v>
      </c>
      <c r="E53" s="94">
        <v>97355</v>
      </c>
      <c r="F53" s="125">
        <f t="shared" si="0"/>
        <v>111.09652976686333</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63256</v>
      </c>
      <c r="E56" s="94">
        <v>79652</v>
      </c>
      <c r="F56" s="125">
        <f t="shared" si="0"/>
        <v>125.92007082332111</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165779</v>
      </c>
      <c r="E60" s="94">
        <v>170448</v>
      </c>
      <c r="F60" s="125">
        <f t="shared" si="0"/>
        <v>102.8164001471839</v>
      </c>
    </row>
    <row r="61" spans="1:6" s="3" customFormat="1" x14ac:dyDescent="0.2">
      <c r="A61" s="132" t="s">
        <v>456</v>
      </c>
      <c r="B61" s="314" t="s">
        <v>617</v>
      </c>
      <c r="C61" s="303">
        <v>50</v>
      </c>
      <c r="D61" s="94">
        <v>165779</v>
      </c>
      <c r="E61" s="94">
        <v>170448</v>
      </c>
      <c r="F61" s="125">
        <f t="shared" si="0"/>
        <v>102.8164001471839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5012</v>
      </c>
      <c r="E69" s="97">
        <f>SUM(E70:E73)</f>
        <v>3639</v>
      </c>
      <c r="F69" s="124">
        <f t="shared" si="0"/>
        <v>72.605746209098172</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v>5012</v>
      </c>
      <c r="E73" s="94">
        <v>3639</v>
      </c>
      <c r="F73" s="125">
        <f t="shared" si="0"/>
        <v>72.605746209098172</v>
      </c>
    </row>
    <row r="74" spans="1:6" s="3" customFormat="1" x14ac:dyDescent="0.2">
      <c r="A74" s="272" t="s">
        <v>3428</v>
      </c>
      <c r="B74" s="314" t="s">
        <v>1884</v>
      </c>
      <c r="C74" s="303">
        <v>63</v>
      </c>
      <c r="D74" s="97">
        <f>D75+D84+D92+D123+D139+D151+D168+D169</f>
        <v>94792</v>
      </c>
      <c r="E74" s="97">
        <f>E75+E84+E92+E123+E139+E151+E168+E169</f>
        <v>107689</v>
      </c>
      <c r="F74" s="124">
        <f t="shared" si="0"/>
        <v>113.60557852983375</v>
      </c>
    </row>
    <row r="75" spans="1:6" s="3" customFormat="1" x14ac:dyDescent="0.2">
      <c r="A75" s="272" t="s">
        <v>2744</v>
      </c>
      <c r="B75" s="314" t="s">
        <v>322</v>
      </c>
      <c r="C75" s="303">
        <v>64</v>
      </c>
      <c r="D75" s="97">
        <f>+D76+D81+D82+D83</f>
        <v>94792</v>
      </c>
      <c r="E75" s="97">
        <f>+E76+E81+E82+E83</f>
        <v>107689</v>
      </c>
      <c r="F75" s="124">
        <f t="shared" si="0"/>
        <v>113.60557852983375</v>
      </c>
    </row>
    <row r="76" spans="1:6" s="3" customFormat="1" x14ac:dyDescent="0.2">
      <c r="A76" s="132" t="s">
        <v>3429</v>
      </c>
      <c r="B76" s="317" t="s">
        <v>1885</v>
      </c>
      <c r="C76" s="303">
        <v>65</v>
      </c>
      <c r="D76" s="97">
        <f>SUM(D77:D80)</f>
        <v>94339</v>
      </c>
      <c r="E76" s="97">
        <f>SUM(E77:E80)</f>
        <v>107689</v>
      </c>
      <c r="F76" s="124">
        <f t="shared" ref="F76:F139" si="1">IF(D76&gt;0,IF(E76/D76&gt;=100,"&gt;&gt;100",E76/D76*100),"-")</f>
        <v>114.15109339721643</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v>94339</v>
      </c>
      <c r="E80" s="94">
        <v>107689</v>
      </c>
      <c r="F80" s="125">
        <f t="shared" si="1"/>
        <v>114.15109339721643</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453</v>
      </c>
      <c r="E82" s="94"/>
      <c r="F82" s="125">
        <f t="shared" si="1"/>
        <v>0</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6954104</v>
      </c>
      <c r="E173" s="97">
        <f>E174+E234</f>
        <v>6935060</v>
      </c>
      <c r="F173" s="124">
        <f t="shared" si="2"/>
        <v>99.72614732250193</v>
      </c>
    </row>
    <row r="174" spans="1:6" s="3" customFormat="1" x14ac:dyDescent="0.2">
      <c r="A174" s="272" t="s">
        <v>3813</v>
      </c>
      <c r="B174" s="314" t="s">
        <v>1145</v>
      </c>
      <c r="C174" s="303">
        <v>163</v>
      </c>
      <c r="D174" s="97">
        <f>D175+D186+D187+D203+D231</f>
        <v>75313</v>
      </c>
      <c r="E174" s="97">
        <f>E175+E186+E187+E203+E231</f>
        <v>78985</v>
      </c>
      <c r="F174" s="124">
        <f t="shared" si="2"/>
        <v>104.8756522778272</v>
      </c>
    </row>
    <row r="175" spans="1:6" s="3" customFormat="1" x14ac:dyDescent="0.2">
      <c r="A175" s="272" t="s">
        <v>1181</v>
      </c>
      <c r="B175" s="314" t="s">
        <v>1547</v>
      </c>
      <c r="C175" s="303">
        <v>164</v>
      </c>
      <c r="D175" s="97">
        <f>SUM(D176:D178)+SUM(D182:D185)</f>
        <v>75313</v>
      </c>
      <c r="E175" s="97">
        <f>SUM(E176:E178)+SUM(E182:E185)</f>
        <v>69217</v>
      </c>
      <c r="F175" s="124">
        <f t="shared" si="2"/>
        <v>91.905779878639819</v>
      </c>
    </row>
    <row r="176" spans="1:6" s="3" customFormat="1" x14ac:dyDescent="0.2">
      <c r="A176" s="272" t="s">
        <v>1182</v>
      </c>
      <c r="B176" s="314" t="s">
        <v>1183</v>
      </c>
      <c r="C176" s="303">
        <v>165</v>
      </c>
      <c r="D176" s="94"/>
      <c r="E176" s="94"/>
      <c r="F176" s="125" t="str">
        <f t="shared" si="2"/>
        <v>-</v>
      </c>
    </row>
    <row r="177" spans="1:6" s="3" customFormat="1" x14ac:dyDescent="0.2">
      <c r="A177" s="272" t="s">
        <v>1184</v>
      </c>
      <c r="B177" s="314" t="s">
        <v>1185</v>
      </c>
      <c r="C177" s="303">
        <v>166</v>
      </c>
      <c r="D177" s="94">
        <v>75313</v>
      </c>
      <c r="E177" s="94">
        <v>69217</v>
      </c>
      <c r="F177" s="125">
        <f t="shared" si="2"/>
        <v>91.905779878639819</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v>9768</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6878791</v>
      </c>
      <c r="E234" s="97">
        <f>+E235+E243-E247+E251+E252+E253</f>
        <v>6856075</v>
      </c>
      <c r="F234" s="124">
        <f t="shared" si="3"/>
        <v>99.669767550722213</v>
      </c>
    </row>
    <row r="235" spans="1:6" s="3" customFormat="1" x14ac:dyDescent="0.2">
      <c r="A235" s="132" t="s">
        <v>1279</v>
      </c>
      <c r="B235" s="314" t="s">
        <v>3395</v>
      </c>
      <c r="C235" s="303">
        <v>224</v>
      </c>
      <c r="D235" s="97">
        <f>D236-D239</f>
        <v>6854300</v>
      </c>
      <c r="E235" s="97">
        <f>E236-E239</f>
        <v>6823733</v>
      </c>
      <c r="F235" s="124">
        <f t="shared" si="3"/>
        <v>99.554046365055513</v>
      </c>
    </row>
    <row r="236" spans="1:6" s="3" customFormat="1" x14ac:dyDescent="0.2">
      <c r="A236" s="132" t="s">
        <v>1280</v>
      </c>
      <c r="B236" s="314" t="s">
        <v>3396</v>
      </c>
      <c r="C236" s="303">
        <v>225</v>
      </c>
      <c r="D236" s="97">
        <f>SUM(D237:D238)</f>
        <v>6854300</v>
      </c>
      <c r="E236" s="97">
        <f>SUM(E237:E238)</f>
        <v>6823733</v>
      </c>
      <c r="F236" s="124">
        <f t="shared" si="3"/>
        <v>99.554046365055513</v>
      </c>
    </row>
    <row r="237" spans="1:6" s="3" customFormat="1" x14ac:dyDescent="0.2">
      <c r="A237" s="132" t="s">
        <v>1281</v>
      </c>
      <c r="B237" s="314" t="s">
        <v>1282</v>
      </c>
      <c r="C237" s="303">
        <v>226</v>
      </c>
      <c r="D237" s="94">
        <v>6854300</v>
      </c>
      <c r="E237" s="94">
        <v>6823733</v>
      </c>
      <c r="F237" s="125">
        <f t="shared" si="3"/>
        <v>99.554046365055513</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24491</v>
      </c>
      <c r="E243" s="97">
        <f>SUM(E244:E246)</f>
        <v>32342</v>
      </c>
      <c r="F243" s="124">
        <f t="shared" si="3"/>
        <v>132.05667388020089</v>
      </c>
    </row>
    <row r="244" spans="1:6" s="3" customFormat="1" x14ac:dyDescent="0.2">
      <c r="A244" s="132" t="s">
        <v>2861</v>
      </c>
      <c r="B244" s="314" t="s">
        <v>4121</v>
      </c>
      <c r="C244" s="303">
        <v>233</v>
      </c>
      <c r="D244" s="94">
        <v>24491</v>
      </c>
      <c r="E244" s="94">
        <v>32342</v>
      </c>
      <c r="F244" s="125">
        <f t="shared" si="3"/>
        <v>132.05667388020089</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524</v>
      </c>
      <c r="E255" s="97">
        <f>E256</f>
        <v>524</v>
      </c>
      <c r="F255" s="124">
        <f t="shared" si="3"/>
        <v>100</v>
      </c>
    </row>
    <row r="256" spans="1:6" s="3" customFormat="1" x14ac:dyDescent="0.2">
      <c r="A256" s="319" t="s">
        <v>302</v>
      </c>
      <c r="B256" s="320" t="s">
        <v>303</v>
      </c>
      <c r="C256" s="306">
        <v>245</v>
      </c>
      <c r="D256" s="95">
        <v>524</v>
      </c>
      <c r="E256" s="95">
        <v>524</v>
      </c>
      <c r="F256" s="126">
        <f t="shared" si="3"/>
        <v>100</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75313</v>
      </c>
      <c r="E287" s="94">
        <v>69217</v>
      </c>
      <c r="F287" s="125">
        <f t="shared" si="4"/>
        <v>91.905779878639819</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v>9768</v>
      </c>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KREŠIMIR PEIĆ</v>
      </c>
      <c r="B325" s="291"/>
      <c r="D325" s="293"/>
      <c r="E325" s="293"/>
      <c r="F325" s="291"/>
      <c r="G325" s="307"/>
    </row>
    <row r="326" spans="1:7" s="292" customFormat="1" ht="15" customHeight="1" x14ac:dyDescent="0.2">
      <c r="A326" s="291" t="str">
        <f>IF(RefStr!H27="","Telefon za kontakt: _________________","Telefon za kontakt: " &amp; RefStr!H27)</f>
        <v>Telefon za kontakt: 035492590</v>
      </c>
      <c r="B326" s="291"/>
      <c r="F326" s="291"/>
      <c r="G326" s="307"/>
    </row>
    <row r="327" spans="1:7" s="292" customFormat="1" ht="15" customHeight="1" x14ac:dyDescent="0.2">
      <c r="A327" s="291" t="str">
        <f>IF(RefStr!H33="","Odgovorna osoba: _____________________________","Odgovorna osoba: " &amp; RefStr!H33)</f>
        <v>Odgovorna osoba: SANJA NUHANOVIĆ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9" activePane="bottomLeft" state="frozen"/>
      <selection pane="bottomLeft" activeCell="E120" sqref="E12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37277</v>
      </c>
      <c r="C4" s="414"/>
      <c r="D4" s="414"/>
      <c r="E4" s="415">
        <f>SUM(Skriveni!G1287:G1423)</f>
        <v>3378857.895</v>
      </c>
      <c r="F4" s="416"/>
    </row>
    <row r="5" spans="1:6" ht="15" customHeight="1" x14ac:dyDescent="0.2">
      <c r="B5" s="413" t="str">
        <f>"Naziv: "&amp;IF(RefStr!B10&lt;&gt;"",RefStr!B10,"_______________________________________")</f>
        <v>Naziv: KAZALIŠNO KONCERTNA DVORANA IVANA BRLIĆ MAŽURANIĆ</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9004 Rad umjetničkih objekata</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3317747</v>
      </c>
      <c r="E114" s="97">
        <f>SUM(E115:E120)</f>
        <v>3238022</v>
      </c>
      <c r="F114" s="125">
        <f t="shared" si="1"/>
        <v>97.597013877188346</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v>3317747</v>
      </c>
      <c r="E116" s="94">
        <v>3238022</v>
      </c>
      <c r="F116" s="125">
        <f t="shared" si="1"/>
        <v>97.597013877188346</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3317747</v>
      </c>
      <c r="E148" s="107">
        <f>E12+E29+E35+E42+E82+E89+E96+E114+E121+E136</f>
        <v>3238022</v>
      </c>
      <c r="F148" s="126">
        <f t="shared" si="2"/>
        <v>97.597013877188346</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KREŠIMIR PEIĆ</v>
      </c>
      <c r="B151" s="291"/>
      <c r="D151" s="293"/>
      <c r="E151" s="293"/>
      <c r="F151" s="291"/>
      <c r="G151" s="307"/>
    </row>
    <row r="152" spans="1:7" s="292" customFormat="1" ht="15" customHeight="1" x14ac:dyDescent="0.2">
      <c r="A152" s="291" t="str">
        <f>IF(RefStr!H27="","Telefon za kontakt: _________________","Telefon za kontakt: " &amp; RefStr!H27)</f>
        <v>Telefon za kontakt: 035492590</v>
      </c>
      <c r="B152" s="291"/>
      <c r="E152" s="291"/>
      <c r="F152" s="291"/>
      <c r="G152" s="307"/>
    </row>
    <row r="153" spans="1:7" s="292" customFormat="1" ht="15" customHeight="1" x14ac:dyDescent="0.2">
      <c r="A153" s="291" t="str">
        <f>IF(RefStr!H33="","Odgovorna osoba: _____________________________","Odgovorna osoba: " &amp; RefStr!H33)</f>
        <v>Odgovorna osoba: SANJA NUHANOVIĆ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37277</v>
      </c>
      <c r="C4" s="450"/>
      <c r="D4" s="415">
        <f>SUM(Skriveni!G1424:G1467)</f>
        <v>0</v>
      </c>
      <c r="E4" s="416"/>
    </row>
    <row r="5" spans="1:6" ht="15" customHeight="1" x14ac:dyDescent="0.2">
      <c r="B5" s="413" t="str">
        <f>"Naziv: "&amp;IF(RefStr!B10&lt;&gt;"",RefStr!B10,"_______________________________________")</f>
        <v>Naziv: KAZALIŠNO KONCERTNA DVORANA IVANA BRLIĆ MAŽURANIĆ</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9004 Rad umjetničkih objekata</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KREŠIMIR PEIĆ</v>
      </c>
      <c r="B59" s="291"/>
      <c r="D59" s="293"/>
      <c r="E59" s="293"/>
      <c r="F59" s="291"/>
      <c r="G59" s="307"/>
    </row>
    <row r="60" spans="1:7" s="292" customFormat="1" ht="15" customHeight="1" x14ac:dyDescent="0.2">
      <c r="A60" s="291" t="str">
        <f>IF(RefStr!H27="","Telefon za kontakt: _________________","Telefon za kontakt: " &amp; RefStr!H27)</f>
        <v>Telefon za kontakt: 035492590</v>
      </c>
      <c r="B60" s="291"/>
      <c r="F60" s="291"/>
      <c r="G60" s="307"/>
    </row>
    <row r="61" spans="1:7" s="292" customFormat="1" ht="15" customHeight="1" x14ac:dyDescent="0.2">
      <c r="A61" s="291" t="str">
        <f>IF(RefStr!H33="","Odgovorna osoba: _____________________________","Odgovorna osoba: " &amp; RefStr!H33)</f>
        <v>Odgovorna osoba: SANJA NUHANOVIĆ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92" sqref="D9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37277</v>
      </c>
      <c r="C4" s="415">
        <f>SUM(Skriveni!G1468:G1561)</f>
        <v>256195.80100000004</v>
      </c>
      <c r="D4" s="416"/>
    </row>
    <row r="5" spans="1:5" s="23" customFormat="1" ht="15" customHeight="1" x14ac:dyDescent="0.2">
      <c r="B5" s="98" t="str">
        <f>"Naziv: "&amp;IF(RefStr!B10&lt;&gt;"",RefStr!B10,"_______________________________________")</f>
        <v>Naziv: KAZALIŠNO KONCERTNA DVORANA IVANA BRLIĆ MAŽURANIĆ</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9004 Rad umjetničkih objekata</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75313</v>
      </c>
    </row>
    <row r="13" spans="1:5" s="2" customFormat="1" x14ac:dyDescent="0.2">
      <c r="A13" s="270"/>
      <c r="B13" s="271" t="s">
        <v>2062</v>
      </c>
      <c r="C13" s="264">
        <v>2</v>
      </c>
      <c r="D13" s="140">
        <f>D14+D15+D23+D24</f>
        <v>3260164</v>
      </c>
    </row>
    <row r="14" spans="1:5" s="2" customFormat="1" x14ac:dyDescent="0.2">
      <c r="A14" s="270"/>
      <c r="B14" s="271" t="s">
        <v>4041</v>
      </c>
      <c r="C14" s="264">
        <v>3</v>
      </c>
      <c r="D14" s="141"/>
    </row>
    <row r="15" spans="1:5" s="2" customFormat="1" x14ac:dyDescent="0.2">
      <c r="A15" s="270" t="s">
        <v>1181</v>
      </c>
      <c r="B15" s="271" t="s">
        <v>3078</v>
      </c>
      <c r="C15" s="264">
        <v>4</v>
      </c>
      <c r="D15" s="140">
        <f>SUM(D16:D22)</f>
        <v>3020493</v>
      </c>
    </row>
    <row r="16" spans="1:5" s="2" customFormat="1" x14ac:dyDescent="0.2">
      <c r="A16" s="272" t="s">
        <v>1182</v>
      </c>
      <c r="B16" s="273" t="s">
        <v>1183</v>
      </c>
      <c r="C16" s="264">
        <v>5</v>
      </c>
      <c r="D16" s="141">
        <v>846480</v>
      </c>
    </row>
    <row r="17" spans="1:4" s="2" customFormat="1" x14ac:dyDescent="0.2">
      <c r="A17" s="272" t="s">
        <v>1184</v>
      </c>
      <c r="B17" s="273" t="s">
        <v>1185</v>
      </c>
      <c r="C17" s="264">
        <v>6</v>
      </c>
      <c r="D17" s="141">
        <v>2173764</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v>0</v>
      </c>
    </row>
    <row r="22" spans="1:4" s="2" customFormat="1" x14ac:dyDescent="0.2">
      <c r="A22" s="272" t="s">
        <v>1193</v>
      </c>
      <c r="B22" s="273" t="s">
        <v>3032</v>
      </c>
      <c r="C22" s="264">
        <v>11</v>
      </c>
      <c r="D22" s="141">
        <v>249</v>
      </c>
    </row>
    <row r="23" spans="1:4" s="2" customFormat="1" x14ac:dyDescent="0.2">
      <c r="A23" s="270" t="s">
        <v>3033</v>
      </c>
      <c r="B23" s="271" t="s">
        <v>3034</v>
      </c>
      <c r="C23" s="264">
        <v>12</v>
      </c>
      <c r="D23" s="141">
        <v>239671</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3256492</v>
      </c>
    </row>
    <row r="31" spans="1:4" s="2" customFormat="1" x14ac:dyDescent="0.2">
      <c r="A31" s="272"/>
      <c r="B31" s="271" t="s">
        <v>4041</v>
      </c>
      <c r="C31" s="264">
        <v>20</v>
      </c>
      <c r="D31" s="141"/>
    </row>
    <row r="32" spans="1:4" s="2" customFormat="1" x14ac:dyDescent="0.2">
      <c r="A32" s="270" t="s">
        <v>1181</v>
      </c>
      <c r="B32" s="271" t="s">
        <v>3081</v>
      </c>
      <c r="C32" s="264">
        <v>21</v>
      </c>
      <c r="D32" s="140">
        <f>SUM(D33:D39)</f>
        <v>3026589</v>
      </c>
    </row>
    <row r="33" spans="1:4" s="2" customFormat="1" x14ac:dyDescent="0.2">
      <c r="A33" s="272" t="s">
        <v>1182</v>
      </c>
      <c r="B33" s="273" t="s">
        <v>1183</v>
      </c>
      <c r="C33" s="264">
        <v>22</v>
      </c>
      <c r="D33" s="141">
        <v>846480</v>
      </c>
    </row>
    <row r="34" spans="1:4" s="2" customFormat="1" x14ac:dyDescent="0.2">
      <c r="A34" s="272" t="s">
        <v>1184</v>
      </c>
      <c r="B34" s="273" t="s">
        <v>1185</v>
      </c>
      <c r="C34" s="264">
        <v>23</v>
      </c>
      <c r="D34" s="141">
        <v>2179860</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249</v>
      </c>
    </row>
    <row r="40" spans="1:4" s="2" customFormat="1" x14ac:dyDescent="0.2">
      <c r="A40" s="275" t="s">
        <v>3033</v>
      </c>
      <c r="B40" s="271" t="s">
        <v>3034</v>
      </c>
      <c r="C40" s="264">
        <v>29</v>
      </c>
      <c r="D40" s="141">
        <v>229903</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78985</v>
      </c>
    </row>
    <row r="48" spans="1:4" s="2" customFormat="1" x14ac:dyDescent="0.2">
      <c r="A48" s="278"/>
      <c r="B48" s="271" t="s">
        <v>3084</v>
      </c>
      <c r="C48" s="264">
        <v>37</v>
      </c>
      <c r="D48" s="140">
        <f>D49+D54+D90+D95</f>
        <v>78985</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69217</v>
      </c>
    </row>
    <row r="55" spans="1:4" s="2" customFormat="1" x14ac:dyDescent="0.2">
      <c r="A55" s="270" t="s">
        <v>1182</v>
      </c>
      <c r="B55" s="271" t="s">
        <v>3087</v>
      </c>
      <c r="C55" s="264">
        <v>44</v>
      </c>
      <c r="D55" s="140">
        <f>SUM(D56:D59)</f>
        <v>69217</v>
      </c>
    </row>
    <row r="56" spans="1:4" s="2" customFormat="1" x14ac:dyDescent="0.2">
      <c r="A56" s="276"/>
      <c r="B56" s="273" t="s">
        <v>1568</v>
      </c>
      <c r="C56" s="264">
        <v>45</v>
      </c>
      <c r="D56" s="141">
        <v>54705</v>
      </c>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v>14512</v>
      </c>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v>0</v>
      </c>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9768</v>
      </c>
    </row>
    <row r="91" spans="1:4" s="2" customFormat="1" x14ac:dyDescent="0.2">
      <c r="A91" s="270"/>
      <c r="B91" s="273" t="s">
        <v>1568</v>
      </c>
      <c r="C91" s="264">
        <v>80</v>
      </c>
      <c r="D91" s="141">
        <v>9768</v>
      </c>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0</v>
      </c>
    </row>
    <row r="102" spans="1:5" s="2" customFormat="1" x14ac:dyDescent="0.2">
      <c r="A102" s="272"/>
      <c r="B102" s="280" t="s">
        <v>4041</v>
      </c>
      <c r="C102" s="264">
        <v>91</v>
      </c>
      <c r="D102" s="141"/>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KREŠIMIR PEIĆ</v>
      </c>
      <c r="B109" s="291"/>
      <c r="C109" s="293"/>
      <c r="D109" s="293"/>
      <c r="E109" s="291"/>
    </row>
    <row r="110" spans="1:5" s="292" customFormat="1" ht="15" customHeight="1" x14ac:dyDescent="0.2">
      <c r="A110" s="291" t="str">
        <f>IF(RefStr!H27="","Telefon za kontakt: _________________","Telefon za kontakt: " &amp; RefStr!H27)</f>
        <v>Telefon za kontakt: 035492590</v>
      </c>
      <c r="B110" s="291"/>
      <c r="E110" s="291"/>
    </row>
    <row r="111" spans="1:5" s="292" customFormat="1" ht="15" customHeight="1" x14ac:dyDescent="0.2">
      <c r="A111" s="291" t="str">
        <f>IF(RefStr!H33="","Odgovorna osoba: _____________________________","Odgovorna osoba: " &amp; RefStr!H33)</f>
        <v>Odgovorna osoba: SANJA NUHANOVIĆ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307"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37277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Tajnik</cp:lastModifiedBy>
  <cp:lastPrinted>2019-01-22T07:44:42Z</cp:lastPrinted>
  <dcterms:created xsi:type="dcterms:W3CDTF">2001-11-21T09:32:18Z</dcterms:created>
  <dcterms:modified xsi:type="dcterms:W3CDTF">2019-01-31T09:47:44Z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